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TCS\TC\Forms\"/>
    </mc:Choice>
  </mc:AlternateContent>
  <bookViews>
    <workbookView xWindow="120" yWindow="180" windowWidth="9375" windowHeight="5355"/>
  </bookViews>
  <sheets>
    <sheet name="TC012" sheetId="1" r:id="rId1"/>
    <sheet name="Specifications" sheetId="2" r:id="rId2"/>
    <sheet name="Engineering Analysis" sheetId="4" r:id="rId3"/>
  </sheets>
  <definedNames>
    <definedName name="_xlchart.v1.0" hidden="1">'Engineering Analysis'!$B$4</definedName>
    <definedName name="_xlchart.v1.1" hidden="1">'Engineering Analysis'!$B$5:$B$19</definedName>
    <definedName name="_xlchart.v1.2" hidden="1">'Engineering Analysis'!$C$4</definedName>
    <definedName name="_xlchart.v1.3" hidden="1">'Engineering Analysis'!$C$5:$C$19</definedName>
    <definedName name="_xlchart.v1.4" hidden="1">'Engineering Analysis'!$D$4</definedName>
    <definedName name="_xlchart.v1.5" hidden="1">'Engineering Analysis'!$D$5:$D$19</definedName>
    <definedName name="_xlnm.Print_Area" localSheetId="0">'TC012'!$A$1:$T$30</definedName>
    <definedName name="Z_8CC68E3D_021C_4AA8_BD8C_67EF8AC42F21_.wvu.PrintArea" localSheetId="0" hidden="1">'TC012'!$A$4:$R$28</definedName>
  </definedNames>
  <calcPr calcId="162913"/>
  <customWorkbookViews>
    <customWorkbookView name="Standard View" guid="{8CC68E3D-021C-4AA8-BD8C-67EF8AC42F21}" maximized="1" xWindow="2391" yWindow="-9" windowWidth="2418" windowHeight="1318" activeSheetId="1"/>
  </customWorkbookViews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4" i="1"/>
  <c r="B9" i="2" l="1"/>
  <c r="B7" i="2"/>
  <c r="M14" i="1" l="1"/>
  <c r="N14" i="1"/>
  <c r="D14" i="1"/>
  <c r="D15" i="1"/>
  <c r="M15" i="1"/>
  <c r="N15" i="1"/>
  <c r="D16" i="1"/>
  <c r="M16" i="1"/>
  <c r="N16" i="1"/>
  <c r="D17" i="1"/>
  <c r="M17" i="1"/>
  <c r="N17" i="1"/>
  <c r="D18" i="1"/>
  <c r="M18" i="1"/>
  <c r="N18" i="1"/>
  <c r="D19" i="1"/>
  <c r="M19" i="1"/>
  <c r="N19" i="1"/>
  <c r="D20" i="1"/>
  <c r="M20" i="1"/>
  <c r="N20" i="1"/>
  <c r="D21" i="1"/>
  <c r="M21" i="1"/>
  <c r="N21" i="1"/>
  <c r="D22" i="1"/>
  <c r="M22" i="1"/>
  <c r="N22" i="1"/>
  <c r="D23" i="1"/>
  <c r="M23" i="1"/>
  <c r="N23" i="1"/>
  <c r="D24" i="1"/>
  <c r="M24" i="1"/>
  <c r="N24" i="1"/>
  <c r="D25" i="1"/>
  <c r="M25" i="1"/>
  <c r="N25" i="1"/>
  <c r="D26" i="1"/>
  <c r="M26" i="1"/>
  <c r="N26" i="1"/>
  <c r="D27" i="1"/>
  <c r="M27" i="1"/>
  <c r="N27" i="1"/>
  <c r="D28" i="1"/>
  <c r="M28" i="1"/>
  <c r="N28" i="1"/>
  <c r="K27" i="2" l="1"/>
  <c r="L22" i="2"/>
  <c r="J7" i="2" l="1"/>
  <c r="L7" i="2" s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6" i="2"/>
  <c r="G4" i="1" l="1"/>
  <c r="H2" i="2"/>
  <c r="G5" i="1"/>
  <c r="H4" i="1"/>
  <c r="F4" i="1"/>
  <c r="L5" i="1" l="1"/>
  <c r="L4" i="1"/>
  <c r="AJ3" i="1"/>
  <c r="AF3" i="1" s="1"/>
  <c r="AG4" i="1"/>
  <c r="AG3" i="1"/>
  <c r="AG2" i="1"/>
  <c r="AE4" i="1"/>
  <c r="AE2" i="1"/>
  <c r="E2" i="2"/>
  <c r="F2" i="2"/>
  <c r="G2" i="2"/>
  <c r="AJ4" i="1"/>
  <c r="AF4" i="1" s="1"/>
  <c r="AJ2" i="1"/>
  <c r="AF2" i="1" s="1"/>
  <c r="B2" i="2" l="1"/>
  <c r="AM2" i="2" l="1"/>
  <c r="C2" i="2"/>
  <c r="D2" i="2"/>
  <c r="I2" i="2"/>
  <c r="J2" i="2"/>
  <c r="K2" i="2"/>
  <c r="L2" i="2"/>
  <c r="M2" i="2"/>
  <c r="N2" i="2"/>
  <c r="O2" i="2"/>
  <c r="P2" i="2"/>
  <c r="Q2" i="2"/>
  <c r="R2" i="2"/>
  <c r="S2" i="2"/>
  <c r="T2" i="2"/>
  <c r="U2" i="2"/>
  <c r="P9" i="1" s="1"/>
  <c r="P14" i="1" s="1"/>
  <c r="V2" i="2"/>
  <c r="R9" i="1" s="1"/>
  <c r="W2" i="2"/>
  <c r="Q9" i="1" s="1"/>
  <c r="X2" i="2"/>
  <c r="Y2" i="2"/>
  <c r="Z2" i="2"/>
  <c r="AA2" i="2"/>
  <c r="AB2" i="2"/>
  <c r="AC2" i="2"/>
  <c r="Q11" i="1" s="1"/>
  <c r="AD2" i="2"/>
  <c r="P12" i="1" s="1"/>
  <c r="AE2" i="2"/>
  <c r="R12" i="1" s="1"/>
  <c r="AF2" i="2"/>
  <c r="AG2" i="2"/>
  <c r="O10" i="1" s="1"/>
  <c r="AH2" i="2"/>
  <c r="AI2" i="2"/>
  <c r="AJ2" i="2"/>
  <c r="AK2" i="2"/>
  <c r="AL2" i="2"/>
  <c r="A2" i="2"/>
  <c r="Q12" i="1"/>
  <c r="R11" i="1"/>
  <c r="P11" i="1"/>
  <c r="R10" i="1"/>
  <c r="Q10" i="1"/>
  <c r="P10" i="1"/>
  <c r="O12" i="1"/>
  <c r="N12" i="1"/>
  <c r="N10" i="1"/>
  <c r="M10" i="1"/>
  <c r="O14" i="1" l="1"/>
  <c r="R14" i="1" s="1"/>
  <c r="AM14" i="1" s="1"/>
  <c r="Q14" i="1"/>
  <c r="Q28" i="1"/>
  <c r="O16" i="1"/>
  <c r="R16" i="1" s="1"/>
  <c r="O24" i="1"/>
  <c r="R24" i="1" s="1"/>
  <c r="O17" i="1"/>
  <c r="R17" i="1" s="1"/>
  <c r="O25" i="1"/>
  <c r="R25" i="1" s="1"/>
  <c r="O26" i="1"/>
  <c r="R26" i="1" s="1"/>
  <c r="O19" i="1"/>
  <c r="R19" i="1" s="1"/>
  <c r="O27" i="1"/>
  <c r="R27" i="1" s="1"/>
  <c r="O21" i="1"/>
  <c r="R21" i="1" s="1"/>
  <c r="O20" i="1"/>
  <c r="R20" i="1" s="1"/>
  <c r="O28" i="1"/>
  <c r="R28" i="1" s="1"/>
  <c r="O23" i="1"/>
  <c r="R23" i="1" s="1"/>
  <c r="O18" i="1"/>
  <c r="R18" i="1" s="1"/>
  <c r="O22" i="1"/>
  <c r="R22" i="1" s="1"/>
  <c r="O15" i="1"/>
  <c r="R15" i="1" s="1"/>
  <c r="B32" i="1"/>
  <c r="C32" i="1"/>
  <c r="AD14" i="1" l="1"/>
  <c r="AM18" i="1"/>
  <c r="AM26" i="1"/>
  <c r="AM23" i="1"/>
  <c r="AM25" i="1"/>
  <c r="AM17" i="1"/>
  <c r="AM15" i="1"/>
  <c r="AM28" i="1"/>
  <c r="AM24" i="1"/>
  <c r="AM19" i="1"/>
  <c r="AM20" i="1"/>
  <c r="AM16" i="1"/>
  <c r="AM22" i="1"/>
  <c r="AM21" i="1"/>
  <c r="AM27" i="1"/>
  <c r="F5" i="4"/>
  <c r="Q19" i="1" l="1"/>
  <c r="Q27" i="1"/>
  <c r="Q21" i="1"/>
  <c r="Q20" i="1"/>
  <c r="Q22" i="1"/>
  <c r="Q18" i="1"/>
  <c r="Q15" i="1"/>
  <c r="Q23" i="1"/>
  <c r="Q16" i="1"/>
  <c r="Q24" i="1"/>
  <c r="Q17" i="1"/>
  <c r="Q25" i="1"/>
  <c r="Q26" i="1"/>
  <c r="AG24" i="1" l="1"/>
  <c r="AH24" i="1"/>
  <c r="AG25" i="1"/>
  <c r="AH25" i="1"/>
  <c r="AG26" i="1"/>
  <c r="AH26" i="1"/>
  <c r="AG27" i="1"/>
  <c r="AH27" i="1"/>
  <c r="AG28" i="1"/>
  <c r="AH28" i="1"/>
  <c r="AI24" i="1"/>
  <c r="AJ24" i="1"/>
  <c r="AI25" i="1"/>
  <c r="AJ25" i="1"/>
  <c r="AI26" i="1"/>
  <c r="AJ26" i="1"/>
  <c r="AI27" i="1"/>
  <c r="AJ27" i="1"/>
  <c r="AI28" i="1"/>
  <c r="AJ28" i="1"/>
  <c r="AG15" i="1" l="1"/>
  <c r="AG22" i="1"/>
  <c r="AG18" i="1"/>
  <c r="AH14" i="1"/>
  <c r="AH21" i="1"/>
  <c r="AH17" i="1"/>
  <c r="AG17" i="1"/>
  <c r="AH20" i="1"/>
  <c r="AH16" i="1"/>
  <c r="AH18" i="1"/>
  <c r="AG20" i="1"/>
  <c r="AG16" i="1"/>
  <c r="AH22" i="1"/>
  <c r="AG14" i="1"/>
  <c r="AG21" i="1"/>
  <c r="AH23" i="1"/>
  <c r="AH19" i="1"/>
  <c r="AH15" i="1"/>
  <c r="AG23" i="1"/>
  <c r="AG19" i="1"/>
  <c r="AJ7" i="2" l="1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6" i="2"/>
  <c r="S12" i="1" l="1"/>
  <c r="AL24" i="1"/>
  <c r="AL25" i="1"/>
  <c r="AL26" i="1"/>
  <c r="AL27" i="1"/>
  <c r="AL28" i="1"/>
  <c r="AL18" i="1"/>
  <c r="P15" i="1" l="1"/>
  <c r="P17" i="1"/>
  <c r="P19" i="1"/>
  <c r="P23" i="1"/>
  <c r="P25" i="1"/>
  <c r="P27" i="1"/>
  <c r="P22" i="1"/>
  <c r="P28" i="1"/>
  <c r="P21" i="1"/>
  <c r="P24" i="1"/>
  <c r="P16" i="1"/>
  <c r="P18" i="1"/>
  <c r="P20" i="1"/>
  <c r="P26" i="1"/>
  <c r="AL17" i="1"/>
  <c r="AL16" i="1"/>
  <c r="AL23" i="1"/>
  <c r="AL15" i="1"/>
  <c r="AJ16" i="1"/>
  <c r="AJ20" i="1"/>
  <c r="AI14" i="1"/>
  <c r="AI17" i="1"/>
  <c r="AI21" i="1"/>
  <c r="AJ17" i="1"/>
  <c r="AJ21" i="1"/>
  <c r="AI18" i="1"/>
  <c r="AI22" i="1"/>
  <c r="AI15" i="1"/>
  <c r="AI19" i="1"/>
  <c r="AI23" i="1"/>
  <c r="AJ14" i="1"/>
  <c r="AJ18" i="1"/>
  <c r="AJ22" i="1"/>
  <c r="AJ15" i="1"/>
  <c r="AJ19" i="1"/>
  <c r="AJ23" i="1"/>
  <c r="AI16" i="1"/>
  <c r="AI20" i="1"/>
  <c r="AL22" i="1"/>
  <c r="AL21" i="1"/>
  <c r="AL20" i="1"/>
  <c r="AL19" i="1"/>
  <c r="AL14" i="1"/>
  <c r="AK14" i="1"/>
  <c r="I32" i="1"/>
  <c r="H32" i="1"/>
  <c r="F32" i="1"/>
  <c r="E32" i="1"/>
  <c r="AK26" i="1" l="1"/>
  <c r="AD26" i="1"/>
  <c r="AK27" i="1"/>
  <c r="AD27" i="1"/>
  <c r="AK25" i="1"/>
  <c r="AD25" i="1"/>
  <c r="AK23" i="1"/>
  <c r="AD23" i="1"/>
  <c r="AK20" i="1"/>
  <c r="AD20" i="1"/>
  <c r="AK18" i="1"/>
  <c r="AD18" i="1"/>
  <c r="AK16" i="1"/>
  <c r="AD16" i="1"/>
  <c r="AK19" i="1"/>
  <c r="AD19" i="1"/>
  <c r="AK28" i="1"/>
  <c r="AD28" i="1"/>
  <c r="AK22" i="1"/>
  <c r="AD22" i="1"/>
  <c r="AK24" i="1"/>
  <c r="AD24" i="1"/>
  <c r="AK17" i="1"/>
  <c r="AD17" i="1"/>
  <c r="AK21" i="1"/>
  <c r="AD21" i="1"/>
  <c r="AK15" i="1"/>
  <c r="AD15" i="1"/>
  <c r="AF24" i="1"/>
  <c r="AC24" i="1" s="1"/>
  <c r="T24" i="1" s="1"/>
  <c r="AF25" i="1"/>
  <c r="AF26" i="1"/>
  <c r="AF27" i="1"/>
  <c r="AF28" i="1"/>
  <c r="AC28" i="1" s="1"/>
  <c r="T28" i="1" s="1"/>
  <c r="AC26" i="1" l="1"/>
  <c r="T26" i="1" s="1"/>
  <c r="AC25" i="1"/>
  <c r="T25" i="1" s="1"/>
  <c r="AC27" i="1"/>
  <c r="T27" i="1" s="1"/>
  <c r="G32" i="1"/>
  <c r="J32" i="1"/>
  <c r="J9" i="1" s="1"/>
  <c r="D32" i="1"/>
  <c r="D9" i="1" s="1"/>
  <c r="G9" i="1" l="1"/>
  <c r="G11" i="1" s="1"/>
  <c r="G10" i="1"/>
  <c r="D11" i="1"/>
  <c r="D10" i="1"/>
  <c r="J10" i="1"/>
  <c r="J11" i="1"/>
  <c r="AF16" i="1"/>
  <c r="AC16" i="1" s="1"/>
  <c r="T16" i="1" s="1"/>
  <c r="AF15" i="1"/>
  <c r="AC15" i="1" s="1"/>
  <c r="T15" i="1" s="1"/>
  <c r="AF17" i="1"/>
  <c r="AC17" i="1" s="1"/>
  <c r="T17" i="1" s="1"/>
  <c r="AF19" i="1"/>
  <c r="AC19" i="1" s="1"/>
  <c r="T19" i="1" s="1"/>
  <c r="AF18" i="1"/>
  <c r="AC18" i="1" s="1"/>
  <c r="T18" i="1" s="1"/>
  <c r="AF20" i="1"/>
  <c r="AC20" i="1" s="1"/>
  <c r="T20" i="1" s="1"/>
  <c r="AF22" i="1"/>
  <c r="AC22" i="1" s="1"/>
  <c r="T22" i="1" s="1"/>
  <c r="AF21" i="1"/>
  <c r="AC21" i="1" s="1"/>
  <c r="T21" i="1" s="1"/>
  <c r="AF14" i="1"/>
  <c r="AC14" i="1" s="1"/>
  <c r="T14" i="1" s="1"/>
  <c r="AF23" i="1"/>
  <c r="AC23" i="1" s="1"/>
  <c r="T23" i="1" s="1"/>
  <c r="AF12" i="1"/>
  <c r="AN14" i="1" l="1"/>
  <c r="A2" i="4"/>
  <c r="A1" i="4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C1" i="4" l="1"/>
  <c r="A4" i="1"/>
  <c r="S10" i="1"/>
  <c r="S11" i="1"/>
  <c r="AT14" i="1"/>
  <c r="E5" i="4" s="1"/>
  <c r="AS13" i="1"/>
  <c r="D4" i="4" s="1"/>
  <c r="AR13" i="1"/>
  <c r="C4" i="4" s="1"/>
  <c r="AQ13" i="1"/>
  <c r="B4" i="4" s="1"/>
  <c r="AQ29" i="1"/>
  <c r="E4" i="4"/>
  <c r="AT15" i="1"/>
  <c r="E6" i="4" s="1"/>
  <c r="AT16" i="1"/>
  <c r="E7" i="4" s="1"/>
  <c r="AT17" i="1"/>
  <c r="E8" i="4" s="1"/>
  <c r="AT18" i="1"/>
  <c r="E9" i="4" s="1"/>
  <c r="AT19" i="1"/>
  <c r="E10" i="4" s="1"/>
  <c r="AT20" i="1"/>
  <c r="E11" i="4" s="1"/>
  <c r="AT21" i="1"/>
  <c r="E12" i="4" s="1"/>
  <c r="AT22" i="1"/>
  <c r="E13" i="4" s="1"/>
  <c r="AT23" i="1"/>
  <c r="E14" i="4" s="1"/>
  <c r="AT24" i="1"/>
  <c r="E15" i="4" s="1"/>
  <c r="AT25" i="1"/>
  <c r="E16" i="4" s="1"/>
  <c r="AT26" i="1"/>
  <c r="E17" i="4" s="1"/>
  <c r="AT27" i="1"/>
  <c r="E18" i="4" s="1"/>
  <c r="AT28" i="1"/>
  <c r="E19" i="4" s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O2" i="4"/>
  <c r="G8" i="4"/>
  <c r="G9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4" i="4"/>
  <c r="AN27" i="1" l="1"/>
  <c r="AO27" i="1" s="1"/>
  <c r="S27" i="1" s="1"/>
  <c r="AN24" i="1"/>
  <c r="AO24" i="1" s="1"/>
  <c r="S24" i="1" s="1"/>
  <c r="AN26" i="1"/>
  <c r="AO26" i="1" s="1"/>
  <c r="S26" i="1" s="1"/>
  <c r="AN28" i="1"/>
  <c r="AO28" i="1" s="1"/>
  <c r="S28" i="1" s="1"/>
  <c r="AN25" i="1"/>
  <c r="AO25" i="1" s="1"/>
  <c r="S25" i="1" s="1"/>
  <c r="AL12" i="1"/>
  <c r="S9" i="1"/>
  <c r="AK12" i="1"/>
  <c r="AM12" i="1"/>
  <c r="AE14" i="1" l="1"/>
  <c r="AN20" i="1"/>
  <c r="AO20" i="1" s="1"/>
  <c r="AN18" i="1"/>
  <c r="AO18" i="1" s="1"/>
  <c r="AN23" i="1"/>
  <c r="AO23" i="1" s="1"/>
  <c r="AN17" i="1"/>
  <c r="AO17" i="1" s="1"/>
  <c r="AN22" i="1"/>
  <c r="AO22" i="1" s="1"/>
  <c r="AN19" i="1"/>
  <c r="AO19" i="1" s="1"/>
  <c r="AN21" i="1"/>
  <c r="AO21" i="1" s="1"/>
  <c r="AN16" i="1"/>
  <c r="AO16" i="1" s="1"/>
  <c r="AN15" i="1"/>
  <c r="AO15" i="1" s="1"/>
  <c r="AO14" i="1"/>
  <c r="S14" i="1" s="1"/>
  <c r="AR28" i="1"/>
  <c r="C19" i="4" s="1"/>
  <c r="AR27" i="1"/>
  <c r="C18" i="4" s="1"/>
  <c r="AR26" i="1"/>
  <c r="C17" i="4" s="1"/>
  <c r="AR25" i="1"/>
  <c r="C16" i="4" s="1"/>
  <c r="AR24" i="1"/>
  <c r="C15" i="4" s="1"/>
  <c r="AS28" i="1"/>
  <c r="D19" i="4" s="1"/>
  <c r="AS27" i="1"/>
  <c r="D18" i="4" s="1"/>
  <c r="AS26" i="1"/>
  <c r="D17" i="4" s="1"/>
  <c r="AS25" i="1"/>
  <c r="D16" i="4" s="1"/>
  <c r="AS24" i="1"/>
  <c r="D15" i="4" s="1"/>
  <c r="AQ24" i="1"/>
  <c r="B15" i="4" s="1"/>
  <c r="AQ25" i="1"/>
  <c r="B16" i="4" s="1"/>
  <c r="AQ26" i="1"/>
  <c r="B17" i="4" s="1"/>
  <c r="AQ27" i="1"/>
  <c r="B18" i="4" s="1"/>
  <c r="AQ28" i="1"/>
  <c r="B19" i="4" s="1"/>
  <c r="AK2" i="1"/>
  <c r="AI4" i="1"/>
  <c r="AK4" i="1"/>
  <c r="AE15" i="1" l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S15" i="1"/>
  <c r="D6" i="4" s="1"/>
  <c r="AR15" i="1"/>
  <c r="C6" i="4" s="1"/>
  <c r="AQ17" i="1"/>
  <c r="B8" i="4" s="1"/>
  <c r="AR22" i="1"/>
  <c r="C13" i="4" s="1"/>
  <c r="AQ21" i="1"/>
  <c r="B12" i="4" s="1"/>
  <c r="AQ20" i="1"/>
  <c r="B11" i="4" s="1"/>
  <c r="AQ16" i="1"/>
  <c r="B7" i="4" s="1"/>
  <c r="AQ19" i="1"/>
  <c r="B10" i="4" s="1"/>
  <c r="AQ23" i="1"/>
  <c r="B14" i="4" s="1"/>
  <c r="AQ18" i="1"/>
  <c r="B9" i="4" s="1"/>
  <c r="S15" i="1" l="1"/>
  <c r="S20" i="1"/>
  <c r="S19" i="1"/>
  <c r="S18" i="1"/>
  <c r="S17" i="1"/>
  <c r="S23" i="1"/>
  <c r="S21" i="1"/>
  <c r="S16" i="1"/>
  <c r="S22" i="1"/>
  <c r="AS22" i="1"/>
  <c r="D13" i="4" s="1"/>
  <c r="AQ15" i="1"/>
  <c r="B6" i="4" s="1"/>
  <c r="AR14" i="1"/>
  <c r="C5" i="4" s="1"/>
  <c r="AQ14" i="1"/>
  <c r="B5" i="4" s="1"/>
  <c r="AQ22" i="1"/>
  <c r="B13" i="4" s="1"/>
  <c r="K5" i="1"/>
  <c r="M5" i="1"/>
  <c r="AR23" i="1" l="1"/>
  <c r="C14" i="4" s="1"/>
  <c r="AS23" i="1"/>
  <c r="D14" i="4" s="1"/>
  <c r="AR18" i="1"/>
  <c r="C9" i="4" s="1"/>
  <c r="AS18" i="1"/>
  <c r="D9" i="4" s="1"/>
  <c r="AR16" i="1"/>
  <c r="C7" i="4" s="1"/>
  <c r="AS16" i="1"/>
  <c r="D7" i="4" s="1"/>
  <c r="AR19" i="1"/>
  <c r="C10" i="4" s="1"/>
  <c r="AS19" i="1"/>
  <c r="D10" i="4" s="1"/>
  <c r="AR17" i="1"/>
  <c r="C8" i="4" s="1"/>
  <c r="AS17" i="1"/>
  <c r="D8" i="4" s="1"/>
  <c r="AR20" i="1"/>
  <c r="C11" i="4" s="1"/>
  <c r="AS20" i="1"/>
  <c r="D11" i="4" s="1"/>
  <c r="AR21" i="1"/>
  <c r="C12" i="4" s="1"/>
  <c r="AS21" i="1"/>
  <c r="D12" i="4" s="1"/>
  <c r="AS14" i="1"/>
  <c r="D5" i="4" s="1"/>
  <c r="L5" i="2"/>
  <c r="M4" i="1" s="1"/>
  <c r="K4" i="1"/>
  <c r="AQ12" i="1" s="1"/>
  <c r="B3" i="4" s="1"/>
  <c r="H5" i="1"/>
  <c r="AK3" i="1"/>
  <c r="F5" i="1"/>
  <c r="AI2" i="1"/>
</calcChain>
</file>

<file path=xl/comments1.xml><?xml version="1.0" encoding="utf-8"?>
<comments xmlns="http://schemas.openxmlformats.org/spreadsheetml/2006/main">
  <authors>
    <author>Anthony J. Agnello</author>
  </authors>
  <commentList>
    <comment ref="AG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
Formula omitted for all item numbere except 21899-01.</t>
        </r>
      </text>
    </comment>
    <comment ref="AH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
Formula omitted for all item numbere except 21899-01.</t>
        </r>
      </text>
    </comment>
    <comment ref="AI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</t>
        </r>
      </text>
    </comment>
    <comment ref="AJ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</t>
        </r>
      </text>
    </comment>
  </commentList>
</comments>
</file>

<file path=xl/comments2.xml><?xml version="1.0" encoding="utf-8"?>
<comments xmlns="http://schemas.openxmlformats.org/spreadsheetml/2006/main">
  <authors>
    <author>Anthony J. Agnello</author>
    <author>Christopher  Kopra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NOTE: If trim range is the same for the entire process, leave intial trim range blank.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NOTE: If trim target is the same for the entire process, leave intial trim range blank.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In Pahse = 0°
Out of Phae = 180°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TRIM MAX?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Actual value (0.003"=0.050mV/G) has been multiplied by 1000 to force max trim ((3"=0.050mV/G).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Placebo element.  Should have no output.</t>
        </r>
      </text>
    </comment>
    <comment ref="AG22" authorId="1" shapeId="0">
      <text>
        <r>
          <rPr>
            <b/>
            <sz val="9"/>
            <color indexed="81"/>
            <rFont val="Tahoma"/>
            <family val="2"/>
          </rPr>
          <t>Christopher  Kopra:</t>
        </r>
        <r>
          <rPr>
            <sz val="9"/>
            <color indexed="81"/>
            <rFont val="Tahoma"/>
            <family val="2"/>
          </rPr>
          <t xml:space="preserve">
Unsure of this . . . Might be for 116B - which the 46282 references in the router
</t>
        </r>
      </text>
    </comment>
    <comment ref="C26" authorId="1" shapeId="0">
      <text>
        <r>
          <rPr>
            <b/>
            <sz val="9"/>
            <color indexed="81"/>
            <rFont val="Tahoma"/>
            <family val="2"/>
          </rPr>
          <t>Christopher  Kopra:</t>
        </r>
        <r>
          <rPr>
            <sz val="9"/>
            <color indexed="81"/>
            <rFont val="Tahoma"/>
            <family val="2"/>
          </rPr>
          <t xml:space="preserve">
Need to update Router - still in mV</t>
        </r>
      </text>
    </comment>
    <comment ref="V30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mV/G</t>
        </r>
      </text>
    </comment>
  </commentList>
</comments>
</file>

<file path=xl/sharedStrings.xml><?xml version="1.0" encoding="utf-8"?>
<sst xmlns="http://schemas.openxmlformats.org/spreadsheetml/2006/main" count="276" uniqueCount="136">
  <si>
    <t>Station:</t>
  </si>
  <si>
    <t>Date:</t>
  </si>
  <si>
    <t>40520-01</t>
  </si>
  <si>
    <t>Phase</t>
  </si>
  <si>
    <t>mV/G</t>
  </si>
  <si>
    <t>Acceleration Compensation</t>
  </si>
  <si>
    <t>Inches</t>
  </si>
  <si>
    <t>Degrees</t>
  </si>
  <si>
    <t>mV/g</t>
  </si>
  <si>
    <t>Max Trim</t>
  </si>
  <si>
    <t>67400-01</t>
  </si>
  <si>
    <t>Item #</t>
  </si>
  <si>
    <t>Job #:</t>
  </si>
  <si>
    <t>Initial</t>
  </si>
  <si>
    <t>2nd</t>
  </si>
  <si>
    <t>3rd</t>
  </si>
  <si>
    <t>Final</t>
  </si>
  <si>
    <t>Element Grade</t>
  </si>
  <si>
    <t>Symbol #</t>
  </si>
  <si>
    <t>14907-01</t>
  </si>
  <si>
    <t>14907-02</t>
  </si>
  <si>
    <t>14907-03</t>
  </si>
  <si>
    <r>
      <t xml:space="preserve">Phase
Angle
</t>
    </r>
    <r>
      <rPr>
        <sz val="8"/>
        <rFont val="Arial"/>
        <family val="2"/>
      </rPr>
      <t>(Degrees</t>
    </r>
    <r>
      <rPr>
        <b/>
        <sz val="8"/>
        <rFont val="Arial"/>
        <family val="2"/>
      </rPr>
      <t>)</t>
    </r>
  </si>
  <si>
    <r>
      <t xml:space="preserve">Phase
Angle
</t>
    </r>
    <r>
      <rPr>
        <sz val="8"/>
        <rFont val="Arial"/>
        <family val="2"/>
      </rPr>
      <t>(Degrees)</t>
    </r>
  </si>
  <si>
    <r>
      <t xml:space="preserve">Trim Amount
</t>
    </r>
    <r>
      <rPr>
        <sz val="8"/>
        <rFont val="Arial"/>
        <family val="2"/>
      </rPr>
      <t>(Inches)</t>
    </r>
  </si>
  <si>
    <r>
      <rPr>
        <b/>
        <sz val="9"/>
        <rFont val="Arial"/>
        <family val="2"/>
      </rPr>
      <t>Insulation Resistance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(Ω)</t>
    </r>
  </si>
  <si>
    <r>
      <t xml:space="preserve">Acceleration Sensitivity
</t>
    </r>
    <r>
      <rPr>
        <sz val="8"/>
        <rFont val="Arial"/>
        <family val="2"/>
      </rPr>
      <t>(PSI / g)</t>
    </r>
  </si>
  <si>
    <r>
      <rPr>
        <b/>
        <sz val="9"/>
        <rFont val="Arial"/>
        <family val="2"/>
      </rPr>
      <t>Resonant Frequency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(kHz)</t>
    </r>
  </si>
  <si>
    <t>TC012</t>
  </si>
  <si>
    <t>Pressure Transducer Acceleration Sensitivity Worksheet</t>
  </si>
  <si>
    <t>Trim Target</t>
  </si>
  <si>
    <t>LSL</t>
  </si>
  <si>
    <t>USL</t>
  </si>
  <si>
    <t>Trim Range</t>
  </si>
  <si>
    <t>to</t>
  </si>
  <si>
    <t>Acceleration Sensitivity</t>
  </si>
  <si>
    <t>Linearity</t>
  </si>
  <si>
    <t>Final Accel</t>
  </si>
  <si>
    <t>No-Grade</t>
  </si>
  <si>
    <t>A-Grade</t>
  </si>
  <si>
    <t>B-Grade</t>
  </si>
  <si>
    <t>C-Grade</t>
  </si>
  <si>
    <t>5080-01</t>
  </si>
  <si>
    <t>21899-01</t>
  </si>
  <si>
    <t>48537-02</t>
  </si>
  <si>
    <t>14908-01</t>
  </si>
  <si>
    <t>342-0625-01</t>
  </si>
  <si>
    <t>40520-02</t>
  </si>
  <si>
    <t>44986-01</t>
  </si>
  <si>
    <t>56646-01</t>
  </si>
  <si>
    <t>40726-01</t>
  </si>
  <si>
    <t>mV</t>
  </si>
  <si>
    <t>Ω</t>
  </si>
  <si>
    <t>pF</t>
  </si>
  <si>
    <t>kHz</t>
  </si>
  <si>
    <t>PSI / g</t>
  </si>
  <si>
    <t>%</t>
  </si>
  <si>
    <t>NA</t>
  </si>
  <si>
    <t>ALL VALUES FOR REFERENCE ONLY, REFER TO SPEC SHEET FOR ACCURACY</t>
  </si>
  <si>
    <r>
      <t xml:space="preserve">Resonant Frequency </t>
    </r>
    <r>
      <rPr>
        <sz val="8"/>
        <rFont val="Arial"/>
        <family val="2"/>
      </rPr>
      <t>(Minimum)</t>
    </r>
  </si>
  <si>
    <t>Notes:</t>
  </si>
  <si>
    <t>Linearity (%)</t>
  </si>
  <si>
    <t>Fail?</t>
  </si>
  <si>
    <t>Data Missing?</t>
  </si>
  <si>
    <r>
      <rPr>
        <b/>
        <sz val="9"/>
        <rFont val="Arial"/>
        <family val="2"/>
      </rPr>
      <t>Minumum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</si>
  <si>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r>
      <rPr>
        <b/>
        <sz val="9"/>
        <rFont val="Arial"/>
        <family val="2"/>
      </rPr>
      <t>Maximum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</si>
  <si>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t>Nominal Capacitence</t>
  </si>
  <si>
    <t>Minimum Capacitence</t>
  </si>
  <si>
    <t>Maximum Capacitence</t>
  </si>
  <si>
    <t>Minimum Insulation Resistance</t>
  </si>
  <si>
    <t>Missing Specs?</t>
  </si>
  <si>
    <t>Amp Cap:</t>
  </si>
  <si>
    <t>Output after last trim</t>
  </si>
  <si>
    <t>Diaphragm Shift</t>
  </si>
  <si>
    <t>Grading</t>
  </si>
  <si>
    <t>Specifications (Reference Only)</t>
  </si>
  <si>
    <t>Charge cal</t>
  </si>
  <si>
    <t>pC/PSI</t>
  </si>
  <si>
    <t>Minimum Charge cal</t>
  </si>
  <si>
    <t>Maximum Charge cal</t>
  </si>
  <si>
    <t>Missing specs?</t>
  </si>
  <si>
    <t>Final Output</t>
  </si>
  <si>
    <r>
      <rPr>
        <b/>
        <sz val="9"/>
        <rFont val="Arial"/>
        <family val="2"/>
      </rPr>
      <t xml:space="preserve">Charge Cal </t>
    </r>
    <r>
      <rPr>
        <sz val="8"/>
        <rFont val="Arial"/>
        <family val="2"/>
      </rPr>
      <t>(pC/PSI)</t>
    </r>
  </si>
  <si>
    <r>
      <t xml:space="preserve">Accel Output 
</t>
    </r>
    <r>
      <rPr>
        <sz val="8"/>
        <rFont val="Arial"/>
        <family val="2"/>
      </rPr>
      <t>(mV/g)</t>
    </r>
  </si>
  <si>
    <r>
      <rPr>
        <b/>
        <sz val="9"/>
        <rFont val="Arial"/>
        <family val="2"/>
      </rPr>
      <t>Element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</si>
  <si>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t>*All yellow cells must be filled in</t>
  </si>
  <si>
    <t>17468-01</t>
  </si>
  <si>
    <t>62903-01</t>
  </si>
  <si>
    <t>46282-01</t>
  </si>
  <si>
    <t>5080-02 - OBSOLETE</t>
  </si>
  <si>
    <t>57986-01</t>
  </si>
  <si>
    <t>57986-02</t>
  </si>
  <si>
    <t>14908-02</t>
  </si>
  <si>
    <t>342-0625-02 - OBSOLETE</t>
  </si>
  <si>
    <t>67400-02 - PRELIMINARY</t>
  </si>
  <si>
    <t>1807-01</t>
  </si>
  <si>
    <t>1807-02 - OBSOLETE</t>
  </si>
  <si>
    <t>14809-06</t>
  </si>
  <si>
    <t>D-Grade</t>
  </si>
  <si>
    <r>
      <rPr>
        <b/>
        <sz val="9"/>
        <rFont val="Arial"/>
        <family val="2"/>
      </rPr>
      <t>Minumum Charge Cal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(pC/PSI)</t>
    </r>
  </si>
  <si>
    <r>
      <rPr>
        <b/>
        <sz val="9"/>
        <rFont val="Arial"/>
        <family val="2"/>
      </rPr>
      <t>Maximum Charge Cal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(pC/PSI)</t>
    </r>
  </si>
  <si>
    <t>Special cases:</t>
  </si>
  <si>
    <t>1807-01 is graded C &amp; D.  Models using A &amp; B grade are obsolete.</t>
  </si>
  <si>
    <t>48537-02 does not get tested for acceleration sensitivity or resonant frequency</t>
  </si>
  <si>
    <t>Bassano</t>
  </si>
  <si>
    <t>Beal</t>
  </si>
  <si>
    <t xml:space="preserve">No historical data/specs </t>
  </si>
  <si>
    <t>Blake</t>
  </si>
  <si>
    <t>Kopra</t>
  </si>
  <si>
    <t>Entered / Updated:</t>
  </si>
  <si>
    <t>By:</t>
  </si>
  <si>
    <t>21899-01 calls out a maximum capacitence on the spec drawing.  This affected the formula in column AF.</t>
  </si>
  <si>
    <t>Not Tested</t>
  </si>
  <si>
    <t>Not tested</t>
  </si>
  <si>
    <t>14907-08</t>
  </si>
  <si>
    <t>not tested</t>
  </si>
  <si>
    <t>NEED "D" GRADE COLUMN - DONE</t>
  </si>
  <si>
    <t>Initial &amp; final accel not tested, res freq not tested</t>
  </si>
  <si>
    <t>We have never built these</t>
  </si>
  <si>
    <t>Used for a fixture - built once in 2015</t>
  </si>
  <si>
    <t>OBS</t>
  </si>
  <si>
    <t xml:space="preserve">Notes:  </t>
  </si>
  <si>
    <t>TC012i</t>
  </si>
  <si>
    <t>Click for Instructions →</t>
  </si>
  <si>
    <t>Calibration</t>
  </si>
  <si>
    <t>Machining</t>
  </si>
  <si>
    <t>Initial Trim Range</t>
  </si>
  <si>
    <t>Initial Trim Target</t>
  </si>
  <si>
    <t>Min. Output Before Trim</t>
  </si>
  <si>
    <t>*Cells that turn orange are outside of the expected values.</t>
  </si>
  <si>
    <t>Rev.K</t>
  </si>
  <si>
    <t>Failure Reason code</t>
  </si>
  <si>
    <t>START HERE</t>
  </si>
  <si>
    <r>
      <rPr>
        <b/>
        <sz val="9"/>
        <rFont val="Arial"/>
        <family val="2"/>
      </rPr>
      <t>Linearity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(%)</t>
    </r>
  </si>
  <si>
    <r>
      <rPr>
        <b/>
        <sz val="9"/>
        <rFont val="Arial"/>
        <family val="2"/>
      </rPr>
      <t>Acceleration Sensitivity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(PSI / g)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</si>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</sst>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28" x14ac:knownFonts="1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MS Sans Serif"/>
    </font>
    <font>
      <b/>
      <sz val="28"/>
      <color rgb="FFFF0000"/>
      <name val="Arial"/>
      <family val="2"/>
    </font>
    <font>
      <sz val="10"/>
      <name val="MS Sans Serif"/>
    </font>
    <font>
      <sz val="12"/>
      <color theme="0" tint="-0.499984740745262"/>
      <name val="Arial"/>
      <family val="2"/>
    </font>
    <font>
      <i/>
      <sz val="10"/>
      <name val="Arial"/>
      <family val="2"/>
    </font>
    <font>
      <sz val="10"/>
      <color theme="0" tint="-0.499984740745262"/>
      <name val="MS Sans Serif"/>
    </font>
    <font>
      <u/>
      <sz val="10"/>
      <color theme="10"/>
      <name val="MS Sans Serif"/>
    </font>
    <font>
      <sz val="12"/>
      <color rgb="FFFF0000"/>
      <name val="Arial"/>
      <family val="2"/>
    </font>
    <font>
      <sz val="22"/>
      <color indexed="81"/>
      <name val="Tahoma"/>
      <family val="2"/>
    </font>
    <font>
      <sz val="10"/>
      <color rgb="FFFF0000"/>
      <name val="MS Sans Serif"/>
    </font>
    <font>
      <i/>
      <sz val="8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311">
    <xf numFmtId="0" fontId="0" fillId="0" borderId="0" xfId="0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5" fillId="0" borderId="14" xfId="0" applyFont="1" applyBorder="1" applyAlignment="1" applyProtection="1">
      <alignment horizontal="center" wrapText="1"/>
    </xf>
    <xf numFmtId="0" fontId="5" fillId="0" borderId="15" xfId="0" applyFont="1" applyBorder="1" applyAlignment="1" applyProtection="1">
      <alignment horizontal="center" wrapText="1"/>
    </xf>
    <xf numFmtId="0" fontId="7" fillId="0" borderId="0" xfId="0" applyFont="1" applyAlignment="1" applyProtection="1">
      <alignment wrapText="1"/>
    </xf>
    <xf numFmtId="0" fontId="5" fillId="0" borderId="17" xfId="0" applyFont="1" applyBorder="1" applyAlignment="1" applyProtection="1">
      <alignment horizontal="center" wrapText="1"/>
    </xf>
    <xf numFmtId="0" fontId="5" fillId="0" borderId="18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19" xfId="0" applyFont="1" applyBorder="1" applyAlignment="1" applyProtection="1">
      <alignment horizontal="center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8" fillId="0" borderId="8" xfId="0" applyFont="1" applyBorder="1" applyAlignment="1" applyProtection="1">
      <alignment horizontal="center" wrapText="1"/>
    </xf>
    <xf numFmtId="0" fontId="8" fillId="0" borderId="13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12" xfId="0" applyFont="1" applyBorder="1" applyAlignment="1" applyProtection="1">
      <alignment horizontal="center" wrapText="1"/>
    </xf>
    <xf numFmtId="0" fontId="12" fillId="0" borderId="0" xfId="0" applyFont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8" fillId="0" borderId="0" xfId="0" applyFont="1" applyProtection="1"/>
    <xf numFmtId="0" fontId="18" fillId="0" borderId="0" xfId="0" applyFont="1" applyAlignment="1" applyProtection="1">
      <alignment wrapText="1"/>
    </xf>
    <xf numFmtId="0" fontId="2" fillId="0" borderId="27" xfId="0" quotePrefix="1" applyFont="1" applyBorder="1" applyAlignment="1" applyProtection="1">
      <alignment horizontal="center" vertical="center"/>
      <protection locked="0"/>
    </xf>
    <xf numFmtId="0" fontId="0" fillId="0" borderId="35" xfId="0" applyBorder="1" applyProtection="1"/>
    <xf numFmtId="0" fontId="0" fillId="0" borderId="28" xfId="0" applyBorder="1" applyProtection="1"/>
    <xf numFmtId="0" fontId="0" fillId="0" borderId="30" xfId="0" applyBorder="1" applyProtection="1"/>
    <xf numFmtId="0" fontId="0" fillId="0" borderId="0" xfId="0" applyProtection="1"/>
    <xf numFmtId="0" fontId="0" fillId="0" borderId="36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32" xfId="0" applyBorder="1" applyProtection="1"/>
    <xf numFmtId="0" fontId="0" fillId="0" borderId="31" xfId="0" applyBorder="1" applyProtection="1"/>
    <xf numFmtId="2" fontId="0" fillId="0" borderId="0" xfId="0" applyNumberFormat="1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 vertical="center"/>
    </xf>
    <xf numFmtId="2" fontId="0" fillId="0" borderId="32" xfId="0" applyNumberFormat="1" applyBorder="1" applyAlignment="1" applyProtection="1">
      <alignment horizontal="center" vertical="center"/>
    </xf>
    <xf numFmtId="0" fontId="15" fillId="0" borderId="0" xfId="0" applyFont="1" applyAlignment="1" applyProtection="1">
      <alignment wrapText="1"/>
    </xf>
    <xf numFmtId="0" fontId="0" fillId="0" borderId="37" xfId="0" applyBorder="1" applyProtection="1"/>
    <xf numFmtId="2" fontId="0" fillId="0" borderId="33" xfId="0" applyNumberFormat="1" applyBorder="1" applyAlignment="1" applyProtection="1">
      <alignment horizontal="center" vertical="center"/>
    </xf>
    <xf numFmtId="2" fontId="0" fillId="0" borderId="34" xfId="0" applyNumberFormat="1" applyBorder="1" applyAlignment="1" applyProtection="1">
      <alignment horizontal="center" vertical="center"/>
    </xf>
    <xf numFmtId="0" fontId="2" fillId="0" borderId="0" xfId="0" applyFont="1" applyProtection="1"/>
    <xf numFmtId="0" fontId="13" fillId="0" borderId="0" xfId="0" applyFont="1" applyProtection="1"/>
    <xf numFmtId="0" fontId="2" fillId="0" borderId="38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 vertical="center"/>
    </xf>
    <xf numFmtId="0" fontId="1" fillId="0" borderId="0" xfId="0" applyFont="1" applyFill="1" applyProtection="1"/>
    <xf numFmtId="0" fontId="2" fillId="0" borderId="0" xfId="0" applyFont="1" applyBorder="1" applyProtection="1"/>
    <xf numFmtId="0" fontId="1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/>
    </xf>
    <xf numFmtId="0" fontId="2" fillId="0" borderId="1" xfId="0" applyFont="1" applyBorder="1" applyProtection="1"/>
    <xf numFmtId="0" fontId="1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38" xfId="0" applyFont="1" applyBorder="1" applyAlignment="1" applyProtection="1">
      <alignment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5" fontId="2" fillId="0" borderId="38" xfId="0" applyNumberFormat="1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 textRotation="90" wrapText="1"/>
    </xf>
    <xf numFmtId="0" fontId="7" fillId="0" borderId="43" xfId="0" applyFont="1" applyBorder="1" applyAlignment="1" applyProtection="1">
      <alignment horizontal="center" vertical="center" textRotation="90" wrapText="1"/>
    </xf>
    <xf numFmtId="0" fontId="7" fillId="0" borderId="44" xfId="0" applyFont="1" applyBorder="1" applyAlignment="1" applyProtection="1">
      <alignment horizontal="center" vertical="center" textRotation="90" wrapText="1"/>
    </xf>
    <xf numFmtId="0" fontId="18" fillId="0" borderId="25" xfId="0" applyFont="1" applyBorder="1" applyAlignment="1" applyProtection="1">
      <alignment horizontal="center" vertical="center" textRotation="90" wrapText="1"/>
    </xf>
    <xf numFmtId="0" fontId="7" fillId="0" borderId="15" xfId="0" applyFont="1" applyBorder="1" applyAlignment="1" applyProtection="1">
      <alignment wrapText="1"/>
    </xf>
    <xf numFmtId="0" fontId="7" fillId="0" borderId="11" xfId="0" applyFont="1" applyBorder="1" applyAlignment="1" applyProtection="1">
      <alignment wrapText="1"/>
    </xf>
    <xf numFmtId="0" fontId="2" fillId="0" borderId="36" xfId="0" applyFont="1" applyBorder="1" applyAlignment="1" applyProtection="1">
      <alignment horizontal="center" vertical="center"/>
    </xf>
    <xf numFmtId="1" fontId="2" fillId="0" borderId="37" xfId="0" applyNumberFormat="1" applyFont="1" applyBorder="1" applyAlignment="1" applyProtection="1">
      <alignment horizontal="center" vertical="center"/>
    </xf>
    <xf numFmtId="165" fontId="0" fillId="0" borderId="45" xfId="0" applyNumberFormat="1" applyFont="1" applyFill="1" applyBorder="1" applyAlignment="1" applyProtection="1">
      <alignment horizontal="center" vertical="center"/>
    </xf>
    <xf numFmtId="165" fontId="0" fillId="0" borderId="44" xfId="0" applyNumberFormat="1" applyFont="1" applyFill="1" applyBorder="1" applyAlignment="1" applyProtection="1">
      <alignment horizontal="center" vertical="center"/>
    </xf>
    <xf numFmtId="2" fontId="2" fillId="0" borderId="50" xfId="1" applyNumberFormat="1" applyFont="1" applyBorder="1" applyAlignment="1" applyProtection="1">
      <alignment horizontal="center" vertical="center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/>
    </xf>
    <xf numFmtId="0" fontId="2" fillId="0" borderId="37" xfId="0" applyFont="1" applyBorder="1" applyAlignment="1" applyProtection="1">
      <alignment vertical="center"/>
    </xf>
    <xf numFmtId="165" fontId="2" fillId="0" borderId="36" xfId="0" applyNumberFormat="1" applyFont="1" applyBorder="1" applyAlignment="1" applyProtection="1">
      <alignment horizontal="center" vertical="center"/>
    </xf>
    <xf numFmtId="0" fontId="8" fillId="0" borderId="46" xfId="0" applyFont="1" applyBorder="1" applyAlignment="1" applyProtection="1">
      <alignment horizontal="center" wrapText="1"/>
    </xf>
    <xf numFmtId="0" fontId="8" fillId="0" borderId="49" xfId="0" applyFont="1" applyBorder="1" applyAlignment="1" applyProtection="1">
      <alignment horizontal="center" wrapText="1"/>
    </xf>
    <xf numFmtId="0" fontId="8" fillId="0" borderId="48" xfId="0" applyFont="1" applyBorder="1" applyAlignment="1" applyProtection="1">
      <alignment horizontal="center" wrapText="1"/>
    </xf>
    <xf numFmtId="0" fontId="8" fillId="0" borderId="51" xfId="0" applyFont="1" applyBorder="1" applyAlignment="1" applyProtection="1">
      <alignment horizontal="center" wrapText="1"/>
    </xf>
    <xf numFmtId="0" fontId="8" fillId="0" borderId="47" xfId="0" applyFont="1" applyBorder="1" applyAlignment="1" applyProtection="1">
      <alignment horizontal="center" wrapText="1"/>
    </xf>
    <xf numFmtId="0" fontId="2" fillId="0" borderId="53" xfId="0" applyFont="1" applyBorder="1" applyAlignment="1" applyProtection="1">
      <alignment horizontal="center"/>
    </xf>
    <xf numFmtId="0" fontId="1" fillId="0" borderId="54" xfId="0" applyFont="1" applyBorder="1" applyAlignment="1" applyProtection="1">
      <alignment horizontal="center" vertical="center" wrapText="1"/>
    </xf>
    <xf numFmtId="0" fontId="4" fillId="0" borderId="54" xfId="0" applyFont="1" applyBorder="1" applyAlignment="1" applyProtection="1">
      <alignment horizontal="center" vertical="center" wrapText="1"/>
    </xf>
    <xf numFmtId="0" fontId="12" fillId="0" borderId="53" xfId="0" applyFont="1" applyBorder="1" applyAlignment="1" applyProtection="1">
      <alignment horizontal="right" vertical="top" wrapText="1"/>
    </xf>
    <xf numFmtId="0" fontId="2" fillId="0" borderId="55" xfId="0" applyFont="1" applyBorder="1" applyProtection="1"/>
    <xf numFmtId="0" fontId="2" fillId="0" borderId="56" xfId="0" applyFont="1" applyBorder="1" applyProtection="1"/>
    <xf numFmtId="0" fontId="7" fillId="0" borderId="0" xfId="0" applyFont="1" applyAlignment="1" applyProtection="1">
      <alignment horizontal="center" wrapText="1"/>
    </xf>
    <xf numFmtId="164" fontId="0" fillId="6" borderId="2" xfId="0" applyNumberFormat="1" applyFont="1" applyFill="1" applyBorder="1" applyAlignment="1" applyProtection="1">
      <alignment horizontal="center" vertical="center"/>
    </xf>
    <xf numFmtId="0" fontId="0" fillId="6" borderId="2" xfId="0" applyFont="1" applyFill="1" applyBorder="1" applyAlignment="1" applyProtection="1">
      <alignment horizontal="center" vertical="center"/>
    </xf>
    <xf numFmtId="0" fontId="0" fillId="6" borderId="9" xfId="0" applyFont="1" applyFill="1" applyBorder="1" applyAlignment="1" applyProtection="1">
      <alignment horizontal="center" vertical="center"/>
    </xf>
    <xf numFmtId="0" fontId="0" fillId="6" borderId="45" xfId="0" applyFont="1" applyFill="1" applyBorder="1" applyAlignment="1" applyProtection="1">
      <alignment horizontal="center" vertical="center"/>
    </xf>
    <xf numFmtId="11" fontId="0" fillId="6" borderId="24" xfId="0" applyNumberFormat="1" applyFont="1" applyFill="1" applyBorder="1" applyAlignment="1" applyProtection="1">
      <alignment horizontal="center" vertical="center"/>
    </xf>
    <xf numFmtId="0" fontId="0" fillId="6" borderId="44" xfId="0" applyFont="1" applyFill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/>
    </xf>
    <xf numFmtId="166" fontId="0" fillId="6" borderId="44" xfId="0" applyNumberFormat="1" applyFont="1" applyFill="1" applyBorder="1" applyAlignment="1" applyProtection="1">
      <alignment horizontal="center" vertical="center"/>
    </xf>
    <xf numFmtId="166" fontId="0" fillId="6" borderId="24" xfId="0" applyNumberFormat="1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left" vertical="center"/>
    </xf>
    <xf numFmtId="164" fontId="0" fillId="3" borderId="2" xfId="0" applyNumberFormat="1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</xf>
    <xf numFmtId="0" fontId="0" fillId="3" borderId="45" xfId="0" applyFont="1" applyFill="1" applyBorder="1" applyAlignment="1" applyProtection="1">
      <alignment horizontal="center" vertical="center"/>
    </xf>
    <xf numFmtId="11" fontId="0" fillId="3" borderId="24" xfId="0" applyNumberFormat="1" applyFont="1" applyFill="1" applyBorder="1" applyAlignment="1" applyProtection="1">
      <alignment horizontal="center" vertical="center"/>
    </xf>
    <xf numFmtId="0" fontId="0" fillId="3" borderId="44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3" borderId="21" xfId="0" applyFont="1" applyFill="1" applyBorder="1" applyAlignment="1" applyProtection="1">
      <alignment horizontal="center" vertical="center"/>
    </xf>
    <xf numFmtId="9" fontId="0" fillId="3" borderId="24" xfId="0" applyNumberFormat="1" applyFont="1" applyFill="1" applyBorder="1" applyAlignment="1" applyProtection="1">
      <alignment horizontal="center" vertical="center"/>
    </xf>
    <xf numFmtId="166" fontId="0" fillId="3" borderId="44" xfId="0" applyNumberFormat="1" applyFont="1" applyFill="1" applyBorder="1" applyAlignment="1" applyProtection="1">
      <alignment horizontal="center" vertical="center"/>
    </xf>
    <xf numFmtId="166" fontId="0" fillId="3" borderId="24" xfId="0" applyNumberFormat="1" applyFont="1" applyFill="1" applyBorder="1" applyAlignment="1" applyProtection="1">
      <alignment horizontal="center" vertical="center"/>
    </xf>
    <xf numFmtId="166" fontId="0" fillId="3" borderId="45" xfId="0" applyNumberFormat="1" applyFont="1" applyFill="1" applyBorder="1" applyAlignment="1" applyProtection="1">
      <alignment horizontal="center" vertical="center"/>
    </xf>
    <xf numFmtId="166" fontId="0" fillId="3" borderId="21" xfId="0" applyNumberFormat="1" applyFont="1" applyFill="1" applyBorder="1" applyAlignment="1" applyProtection="1">
      <alignment horizontal="center" vertical="center"/>
    </xf>
    <xf numFmtId="0" fontId="0" fillId="5" borderId="2" xfId="0" applyFont="1" applyFill="1" applyBorder="1" applyAlignment="1" applyProtection="1">
      <alignment horizontal="left" vertical="center"/>
    </xf>
    <xf numFmtId="164" fontId="0" fillId="5" borderId="2" xfId="0" applyNumberFormat="1" applyFont="1" applyFill="1" applyBorder="1" applyAlignment="1" applyProtection="1">
      <alignment horizontal="center" vertical="center"/>
    </xf>
    <xf numFmtId="0" fontId="0" fillId="5" borderId="2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horizontal="center" vertical="center"/>
    </xf>
    <xf numFmtId="0" fontId="0" fillId="5" borderId="45" xfId="0" applyFont="1" applyFill="1" applyBorder="1" applyAlignment="1" applyProtection="1">
      <alignment horizontal="center" vertical="center"/>
    </xf>
    <xf numFmtId="11" fontId="0" fillId="5" borderId="24" xfId="0" applyNumberFormat="1" applyFont="1" applyFill="1" applyBorder="1" applyAlignment="1" applyProtection="1">
      <alignment horizontal="center" vertical="center"/>
    </xf>
    <xf numFmtId="0" fontId="0" fillId="5" borderId="44" xfId="0" applyFont="1" applyFill="1" applyBorder="1" applyAlignment="1" applyProtection="1">
      <alignment horizontal="center" vertical="center"/>
    </xf>
    <xf numFmtId="0" fontId="0" fillId="5" borderId="22" xfId="0" applyFont="1" applyFill="1" applyBorder="1" applyAlignment="1" applyProtection="1">
      <alignment horizontal="center" vertical="center"/>
    </xf>
    <xf numFmtId="0" fontId="0" fillId="5" borderId="21" xfId="0" applyFont="1" applyFill="1" applyBorder="1" applyAlignment="1" applyProtection="1">
      <alignment horizontal="center" vertical="center"/>
    </xf>
    <xf numFmtId="9" fontId="0" fillId="5" borderId="24" xfId="0" applyNumberFormat="1" applyFont="1" applyFill="1" applyBorder="1" applyAlignment="1" applyProtection="1">
      <alignment horizontal="center" vertical="center"/>
    </xf>
    <xf numFmtId="166" fontId="0" fillId="5" borderId="44" xfId="0" applyNumberFormat="1" applyFont="1" applyFill="1" applyBorder="1" applyAlignment="1" applyProtection="1">
      <alignment horizontal="center" vertical="center"/>
    </xf>
    <xf numFmtId="166" fontId="0" fillId="5" borderId="24" xfId="0" applyNumberFormat="1" applyFont="1" applyFill="1" applyBorder="1" applyAlignment="1" applyProtection="1">
      <alignment horizontal="center" vertical="center"/>
    </xf>
    <xf numFmtId="166" fontId="0" fillId="5" borderId="45" xfId="0" applyNumberFormat="1" applyFont="1" applyFill="1" applyBorder="1" applyAlignment="1" applyProtection="1">
      <alignment horizontal="center" vertical="center"/>
    </xf>
    <xf numFmtId="166" fontId="0" fillId="5" borderId="21" xfId="0" applyNumberFormat="1" applyFont="1" applyFill="1" applyBorder="1" applyAlignment="1" applyProtection="1">
      <alignment horizontal="center" vertical="center"/>
    </xf>
    <xf numFmtId="0" fontId="0" fillId="6" borderId="2" xfId="0" applyFont="1" applyFill="1" applyBorder="1" applyAlignment="1" applyProtection="1">
      <alignment horizontal="left" vertical="center"/>
    </xf>
    <xf numFmtId="0" fontId="0" fillId="6" borderId="22" xfId="0" applyFont="1" applyFill="1" applyBorder="1" applyAlignment="1" applyProtection="1">
      <alignment horizontal="center" vertical="center"/>
    </xf>
    <xf numFmtId="0" fontId="0" fillId="6" borderId="24" xfId="0" applyFont="1" applyFill="1" applyBorder="1" applyAlignment="1" applyProtection="1">
      <alignment horizontal="center" vertical="center"/>
    </xf>
    <xf numFmtId="166" fontId="0" fillId="6" borderId="45" xfId="0" applyNumberFormat="1" applyFont="1" applyFill="1" applyBorder="1" applyAlignment="1" applyProtection="1">
      <alignment horizontal="center" vertical="center"/>
    </xf>
    <xf numFmtId="166" fontId="0" fillId="6" borderId="21" xfId="0" applyNumberFormat="1" applyFont="1" applyFill="1" applyBorder="1" applyAlignment="1" applyProtection="1">
      <alignment horizontal="center" vertical="center"/>
    </xf>
    <xf numFmtId="166" fontId="0" fillId="6" borderId="57" xfId="0" applyNumberFormat="1" applyFont="1" applyFill="1" applyBorder="1" applyAlignment="1" applyProtection="1">
      <alignment horizontal="center" vertical="center"/>
    </xf>
    <xf numFmtId="166" fontId="0" fillId="6" borderId="58" xfId="0" applyNumberFormat="1" applyFont="1" applyFill="1" applyBorder="1" applyAlignment="1" applyProtection="1">
      <alignment horizontal="center" vertical="center"/>
    </xf>
    <xf numFmtId="166" fontId="0" fillId="6" borderId="59" xfId="0" applyNumberFormat="1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left" vertical="center"/>
    </xf>
    <xf numFmtId="164" fontId="0" fillId="4" borderId="2" xfId="0" applyNumberFormat="1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0" fillId="4" borderId="9" xfId="0" applyFont="1" applyFill="1" applyBorder="1" applyAlignment="1" applyProtection="1">
      <alignment horizontal="center" vertical="center"/>
    </xf>
    <xf numFmtId="0" fontId="0" fillId="4" borderId="45" xfId="0" applyFont="1" applyFill="1" applyBorder="1" applyAlignment="1" applyProtection="1">
      <alignment horizontal="center" vertical="center"/>
    </xf>
    <xf numFmtId="11" fontId="0" fillId="4" borderId="24" xfId="0" applyNumberFormat="1" applyFont="1" applyFill="1" applyBorder="1" applyAlignment="1" applyProtection="1">
      <alignment horizontal="center" vertical="center"/>
    </xf>
    <xf numFmtId="0" fontId="0" fillId="4" borderId="44" xfId="0" applyFont="1" applyFill="1" applyBorder="1" applyAlignment="1" applyProtection="1">
      <alignment horizontal="center" vertical="center"/>
    </xf>
    <xf numFmtId="0" fontId="0" fillId="4" borderId="22" xfId="0" applyFont="1" applyFill="1" applyBorder="1" applyAlignment="1" applyProtection="1">
      <alignment horizontal="center" vertical="center"/>
    </xf>
    <xf numFmtId="0" fontId="0" fillId="4" borderId="21" xfId="0" applyFont="1" applyFill="1" applyBorder="1" applyAlignment="1" applyProtection="1">
      <alignment horizontal="center" vertical="center"/>
    </xf>
    <xf numFmtId="9" fontId="0" fillId="4" borderId="24" xfId="0" applyNumberFormat="1" applyFont="1" applyFill="1" applyBorder="1" applyAlignment="1" applyProtection="1">
      <alignment horizontal="center" vertical="center"/>
    </xf>
    <xf numFmtId="166" fontId="0" fillId="4" borderId="44" xfId="0" applyNumberFormat="1" applyFont="1" applyFill="1" applyBorder="1" applyAlignment="1" applyProtection="1">
      <alignment horizontal="center" vertical="center"/>
    </xf>
    <xf numFmtId="166" fontId="0" fillId="4" borderId="24" xfId="0" applyNumberFormat="1" applyFont="1" applyFill="1" applyBorder="1" applyAlignment="1" applyProtection="1">
      <alignment horizontal="center" vertical="center"/>
    </xf>
    <xf numFmtId="166" fontId="0" fillId="4" borderId="45" xfId="0" applyNumberFormat="1" applyFont="1" applyFill="1" applyBorder="1" applyAlignment="1" applyProtection="1">
      <alignment horizontal="center" vertical="center"/>
    </xf>
    <xf numFmtId="166" fontId="0" fillId="4" borderId="21" xfId="0" applyNumberFormat="1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left" vertical="center"/>
    </xf>
    <xf numFmtId="164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center" vertical="center"/>
    </xf>
    <xf numFmtId="11" fontId="0" fillId="2" borderId="24" xfId="0" applyNumberFormat="1" applyFont="1" applyFill="1" applyBorder="1" applyAlignment="1" applyProtection="1">
      <alignment horizontal="center" vertical="center"/>
    </xf>
    <xf numFmtId="0" fontId="0" fillId="2" borderId="44" xfId="0" applyFont="1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</xf>
    <xf numFmtId="0" fontId="0" fillId="2" borderId="21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 applyProtection="1">
      <alignment horizontal="center" vertical="center"/>
    </xf>
    <xf numFmtId="166" fontId="0" fillId="2" borderId="44" xfId="0" applyNumberFormat="1" applyFont="1" applyFill="1" applyBorder="1" applyAlignment="1" applyProtection="1">
      <alignment horizontal="center" vertical="center"/>
    </xf>
    <xf numFmtId="166" fontId="0" fillId="2" borderId="24" xfId="0" applyNumberFormat="1" applyFont="1" applyFill="1" applyBorder="1" applyAlignment="1" applyProtection="1">
      <alignment horizontal="center" vertical="center"/>
    </xf>
    <xf numFmtId="166" fontId="0" fillId="2" borderId="45" xfId="0" applyNumberFormat="1" applyFont="1" applyFill="1" applyBorder="1" applyAlignment="1" applyProtection="1">
      <alignment horizontal="center" vertical="center"/>
    </xf>
    <xf numFmtId="166" fontId="0" fillId="2" borderId="21" xfId="0" applyNumberFormat="1" applyFont="1" applyFill="1" applyBorder="1" applyAlignment="1" applyProtection="1">
      <alignment horizontal="center" vertical="center"/>
    </xf>
    <xf numFmtId="0" fontId="0" fillId="7" borderId="2" xfId="0" applyFont="1" applyFill="1" applyBorder="1" applyAlignment="1" applyProtection="1">
      <alignment horizontal="left" vertical="center"/>
    </xf>
    <xf numFmtId="164" fontId="0" fillId="7" borderId="2" xfId="0" applyNumberFormat="1" applyFont="1" applyFill="1" applyBorder="1" applyAlignment="1" applyProtection="1">
      <alignment horizontal="center" vertical="center"/>
    </xf>
    <xf numFmtId="0" fontId="0" fillId="7" borderId="2" xfId="0" applyFont="1" applyFill="1" applyBorder="1" applyAlignment="1" applyProtection="1">
      <alignment horizontal="center" vertical="center"/>
    </xf>
    <xf numFmtId="0" fontId="0" fillId="7" borderId="9" xfId="0" applyFont="1" applyFill="1" applyBorder="1" applyAlignment="1" applyProtection="1">
      <alignment horizontal="center" vertical="center"/>
    </xf>
    <xf numFmtId="0" fontId="0" fillId="7" borderId="45" xfId="0" applyFont="1" applyFill="1" applyBorder="1" applyAlignment="1" applyProtection="1">
      <alignment horizontal="center" vertical="center"/>
    </xf>
    <xf numFmtId="11" fontId="0" fillId="7" borderId="24" xfId="0" applyNumberFormat="1" applyFont="1" applyFill="1" applyBorder="1" applyAlignment="1" applyProtection="1">
      <alignment horizontal="center" vertical="center"/>
    </xf>
    <xf numFmtId="0" fontId="0" fillId="7" borderId="44" xfId="0" applyFont="1" applyFill="1" applyBorder="1" applyAlignment="1" applyProtection="1">
      <alignment horizontal="center" vertical="center"/>
    </xf>
    <xf numFmtId="0" fontId="0" fillId="7" borderId="22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horizontal="center" vertical="center"/>
    </xf>
    <xf numFmtId="0" fontId="0" fillId="7" borderId="24" xfId="0" applyFont="1" applyFill="1" applyBorder="1" applyAlignment="1" applyProtection="1">
      <alignment horizontal="center" vertical="center"/>
    </xf>
    <xf numFmtId="166" fontId="0" fillId="7" borderId="44" xfId="0" applyNumberFormat="1" applyFont="1" applyFill="1" applyBorder="1" applyAlignment="1" applyProtection="1">
      <alignment horizontal="center" vertical="center"/>
    </xf>
    <xf numFmtId="166" fontId="0" fillId="7" borderId="24" xfId="0" applyNumberFormat="1" applyFont="1" applyFill="1" applyBorder="1" applyAlignment="1" applyProtection="1">
      <alignment horizontal="center" vertical="center"/>
    </xf>
    <xf numFmtId="166" fontId="0" fillId="7" borderId="45" xfId="0" applyNumberFormat="1" applyFont="1" applyFill="1" applyBorder="1" applyAlignment="1" applyProtection="1">
      <alignment horizontal="center" vertical="center"/>
    </xf>
    <xf numFmtId="166" fontId="0" fillId="7" borderId="21" xfId="0" applyNumberFormat="1" applyFont="1" applyFill="1" applyBorder="1" applyAlignment="1" applyProtection="1">
      <alignment horizontal="center" vertical="center"/>
    </xf>
    <xf numFmtId="10" fontId="0" fillId="6" borderId="24" xfId="0" applyNumberFormat="1" applyFont="1" applyFill="1" applyBorder="1" applyAlignment="1" applyProtection="1">
      <alignment horizontal="center" vertical="center"/>
    </xf>
    <xf numFmtId="0" fontId="0" fillId="3" borderId="2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14" fontId="0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0" fillId="0" borderId="2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45" xfId="0" applyFont="1" applyBorder="1" applyProtection="1"/>
    <xf numFmtId="0" fontId="0" fillId="0" borderId="24" xfId="0" applyFont="1" applyBorder="1" applyProtection="1"/>
    <xf numFmtId="0" fontId="0" fillId="0" borderId="44" xfId="0" applyFont="1" applyBorder="1" applyProtection="1"/>
    <xf numFmtId="0" fontId="0" fillId="0" borderId="22" xfId="0" applyFont="1" applyBorder="1" applyProtection="1"/>
    <xf numFmtId="0" fontId="0" fillId="0" borderId="21" xfId="0" applyFont="1" applyBorder="1" applyProtection="1"/>
    <xf numFmtId="166" fontId="0" fillId="0" borderId="44" xfId="0" applyNumberFormat="1" applyFont="1" applyBorder="1" applyProtection="1"/>
    <xf numFmtId="166" fontId="0" fillId="0" borderId="24" xfId="0" applyNumberFormat="1" applyFont="1" applyBorder="1" applyProtection="1"/>
    <xf numFmtId="166" fontId="0" fillId="0" borderId="45" xfId="0" applyNumberFormat="1" applyFont="1" applyBorder="1" applyProtection="1"/>
    <xf numFmtId="166" fontId="0" fillId="0" borderId="21" xfId="0" applyNumberFormat="1" applyFont="1" applyBorder="1" applyProtection="1"/>
    <xf numFmtId="0" fontId="20" fillId="0" borderId="0" xfId="0" applyFont="1" applyAlignment="1" applyProtection="1">
      <alignment horizontal="center"/>
    </xf>
    <xf numFmtId="0" fontId="0" fillId="0" borderId="46" xfId="0" applyFont="1" applyBorder="1" applyProtection="1"/>
    <xf numFmtId="0" fontId="0" fillId="0" borderId="49" xfId="0" applyFont="1" applyBorder="1" applyProtection="1"/>
    <xf numFmtId="0" fontId="0" fillId="0" borderId="48" xfId="0" applyFont="1" applyBorder="1" applyProtection="1"/>
    <xf numFmtId="0" fontId="0" fillId="0" borderId="23" xfId="0" applyFont="1" applyBorder="1" applyProtection="1"/>
    <xf numFmtId="0" fontId="0" fillId="0" borderId="20" xfId="0" applyFont="1" applyBorder="1" applyProtection="1"/>
    <xf numFmtId="0" fontId="0" fillId="0" borderId="39" xfId="0" applyFont="1" applyBorder="1" applyProtection="1"/>
    <xf numFmtId="0" fontId="0" fillId="0" borderId="47" xfId="0" applyFont="1" applyBorder="1" applyProtection="1"/>
    <xf numFmtId="166" fontId="0" fillId="0" borderId="48" xfId="0" applyNumberFormat="1" applyFont="1" applyBorder="1" applyProtection="1"/>
    <xf numFmtId="166" fontId="0" fillId="0" borderId="49" xfId="0" applyNumberFormat="1" applyFont="1" applyBorder="1" applyProtection="1"/>
    <xf numFmtId="166" fontId="0" fillId="0" borderId="46" xfId="0" applyNumberFormat="1" applyFont="1" applyBorder="1" applyProtection="1"/>
    <xf numFmtId="166" fontId="0" fillId="0" borderId="47" xfId="0" applyNumberFormat="1" applyFont="1" applyBorder="1" applyProtection="1"/>
    <xf numFmtId="0" fontId="16" fillId="0" borderId="0" xfId="0" applyFont="1" applyAlignment="1" applyProtection="1">
      <alignment horizontal="left" vertical="top"/>
    </xf>
    <xf numFmtId="0" fontId="2" fillId="8" borderId="38" xfId="0" applyFont="1" applyFill="1" applyBorder="1" applyAlignment="1" applyProtection="1">
      <alignment horizontal="center" vertical="center"/>
    </xf>
    <xf numFmtId="0" fontId="12" fillId="0" borderId="38" xfId="0" quotePrefix="1" applyFont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left" vertical="center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" fillId="0" borderId="63" xfId="0" applyFont="1" applyBorder="1" applyAlignment="1" applyProtection="1">
      <alignment horizontal="center" vertical="center"/>
    </xf>
    <xf numFmtId="14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64" xfId="0" applyFont="1" applyBorder="1" applyAlignment="1" applyProtection="1">
      <alignment horizontal="left"/>
    </xf>
    <xf numFmtId="0" fontId="1" fillId="0" borderId="64" xfId="0" applyFont="1" applyBorder="1" applyProtection="1"/>
    <xf numFmtId="0" fontId="2" fillId="0" borderId="35" xfId="0" applyFont="1" applyBorder="1" applyAlignment="1" applyProtection="1"/>
    <xf numFmtId="165" fontId="2" fillId="0" borderId="37" xfId="0" applyNumberFormat="1" applyFont="1" applyBorder="1" applyAlignment="1" applyProtection="1">
      <alignment horizontal="center" vertical="center"/>
    </xf>
    <xf numFmtId="0" fontId="1" fillId="0" borderId="68" xfId="0" applyFont="1" applyBorder="1" applyAlignment="1" applyProtection="1">
      <alignment horizontal="center" vertical="center" wrapText="1"/>
    </xf>
    <xf numFmtId="0" fontId="1" fillId="0" borderId="69" xfId="0" applyFont="1" applyBorder="1" applyAlignment="1" applyProtection="1">
      <alignment horizontal="center" vertical="center" wrapText="1"/>
    </xf>
    <xf numFmtId="0" fontId="1" fillId="0" borderId="70" xfId="0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center" vertical="center"/>
    </xf>
    <xf numFmtId="0" fontId="2" fillId="0" borderId="71" xfId="0" quotePrefix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0" fontId="0" fillId="8" borderId="2" xfId="0" applyFont="1" applyFill="1" applyBorder="1" applyAlignment="1" applyProtection="1">
      <alignment horizontal="center" vertical="center"/>
    </xf>
    <xf numFmtId="164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vertical="top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" fontId="2" fillId="0" borderId="72" xfId="0" applyNumberFormat="1" applyFont="1" applyBorder="1" applyAlignment="1" applyProtection="1">
      <alignment horizontal="center" vertical="center"/>
    </xf>
    <xf numFmtId="164" fontId="2" fillId="0" borderId="50" xfId="1" applyNumberFormat="1" applyFont="1" applyBorder="1" applyAlignment="1" applyProtection="1">
      <alignment horizontal="center" vertical="center"/>
    </xf>
    <xf numFmtId="0" fontId="2" fillId="0" borderId="73" xfId="1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5" fillId="8" borderId="0" xfId="0" applyFont="1" applyFill="1" applyAlignment="1" applyProtection="1">
      <alignment horizontal="center"/>
    </xf>
    <xf numFmtId="0" fontId="2" fillId="8" borderId="28" xfId="0" applyFont="1" applyFill="1" applyBorder="1" applyProtection="1"/>
    <xf numFmtId="0" fontId="2" fillId="0" borderId="29" xfId="0" applyFont="1" applyBorder="1" applyProtection="1"/>
    <xf numFmtId="0" fontId="2" fillId="0" borderId="30" xfId="0" applyFont="1" applyBorder="1" applyProtection="1"/>
    <xf numFmtId="0" fontId="2" fillId="8" borderId="31" xfId="0" applyFont="1" applyFill="1" applyBorder="1" applyProtection="1"/>
    <xf numFmtId="0" fontId="2" fillId="0" borderId="32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32" xfId="0" applyFont="1" applyBorder="1" applyAlignment="1" applyProtection="1">
      <alignment vertical="center"/>
    </xf>
    <xf numFmtId="0" fontId="2" fillId="8" borderId="31" xfId="0" applyFont="1" applyFill="1" applyBorder="1" applyAlignment="1" applyProtection="1">
      <alignment vertical="center"/>
    </xf>
    <xf numFmtId="0" fontId="2" fillId="8" borderId="3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8" borderId="31" xfId="0" applyFont="1" applyFill="1" applyBorder="1" applyAlignment="1" applyProtection="1">
      <alignment horizontal="center" vertical="center"/>
    </xf>
    <xf numFmtId="0" fontId="5" fillId="8" borderId="33" xfId="0" applyFont="1" applyFill="1" applyBorder="1" applyAlignment="1" applyProtection="1">
      <alignment horizontal="center"/>
    </xf>
    <xf numFmtId="0" fontId="5" fillId="0" borderId="74" xfId="0" applyFont="1" applyBorder="1" applyAlignment="1" applyProtection="1">
      <alignment horizontal="center"/>
    </xf>
    <xf numFmtId="0" fontId="2" fillId="0" borderId="74" xfId="0" applyFont="1" applyBorder="1" applyProtection="1"/>
    <xf numFmtId="0" fontId="2" fillId="0" borderId="34" xfId="0" applyFont="1" applyBorder="1" applyProtection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 wrapText="1"/>
    </xf>
    <xf numFmtId="165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164" fontId="24" fillId="3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5" fillId="0" borderId="65" xfId="0" applyFont="1" applyBorder="1" applyAlignment="1" applyProtection="1">
      <alignment horizontal="center"/>
    </xf>
    <xf numFmtId="0" fontId="25" fillId="0" borderId="66" xfId="0" applyFont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6" fillId="0" borderId="70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left"/>
    </xf>
    <xf numFmtId="0" fontId="21" fillId="0" borderId="0" xfId="2" applyProtection="1"/>
    <xf numFmtId="0" fontId="2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7" xfId="0" applyFont="1" applyBorder="1" applyAlignment="1" applyProtection="1">
      <alignment horizontal="center" vertical="center" wrapText="1"/>
    </xf>
    <xf numFmtId="0" fontId="2" fillId="0" borderId="52" xfId="0" applyFont="1" applyBorder="1" applyAlignment="1" applyProtection="1">
      <alignment horizontal="center" vertical="center" wrapText="1"/>
    </xf>
    <xf numFmtId="0" fontId="1" fillId="0" borderId="64" xfId="0" applyFont="1" applyBorder="1" applyAlignment="1" applyProtection="1">
      <alignment horizontal="center" vertical="top"/>
    </xf>
    <xf numFmtId="0" fontId="1" fillId="0" borderId="65" xfId="0" applyFont="1" applyBorder="1" applyAlignment="1" applyProtection="1">
      <alignment horizontal="center" vertical="top"/>
    </xf>
    <xf numFmtId="0" fontId="1" fillId="0" borderId="29" xfId="0" applyFont="1" applyBorder="1" applyAlignment="1" applyProtection="1">
      <alignment horizontal="center" vertical="top"/>
    </xf>
    <xf numFmtId="0" fontId="1" fillId="0" borderId="30" xfId="0" applyFont="1" applyBorder="1" applyAlignment="1" applyProtection="1">
      <alignment horizontal="center" vertical="top"/>
    </xf>
    <xf numFmtId="0" fontId="5" fillId="0" borderId="15" xfId="0" applyFont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center" wrapText="1"/>
    </xf>
    <xf numFmtId="0" fontId="14" fillId="0" borderId="41" xfId="0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center" wrapText="1"/>
    </xf>
    <xf numFmtId="0" fontId="14" fillId="0" borderId="42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wrapText="1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70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u val="none"/>
        <color auto="1"/>
      </font>
      <fill>
        <patternFill>
          <bgColor rgb="FFFF0000"/>
        </patternFill>
      </fill>
    </dxf>
    <dxf>
      <font>
        <u val="none"/>
        <color theme="0" tint="-0.2499465926084170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color theme="0"/>
      </font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'Engineering Analysis'!$C$1</c:f>
          <c:strCache>
            <c:ptCount val="1"/>
            <c:pt idx="0">
              <c:v>START HERE, 0</c:v>
            </c:pt>
          </c:strCache>
        </c:strRef>
      </c:tx>
      <c:layout>
        <c:manualLayout>
          <c:xMode val="edge"/>
          <c:yMode val="edge"/>
          <c:x val="0.38974903868934918"/>
          <c:y val="6.4814925709948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48438374720499"/>
          <c:y val="0.14491902192172673"/>
          <c:w val="0.80279704920234785"/>
          <c:h val="0.6773464984301100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'Engineering Analysis'!$F$5:$F$19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xVal>
          <c:yVal>
            <c:numRef>
              <c:f>'Engineering Analysis'!$E$5:$E$19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37-450D-B18E-1A57B5835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335376"/>
        <c:axId val="627329472"/>
      </c:scatterChart>
      <c:valAx>
        <c:axId val="62733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'Engineering Analysis'!$F$4</c:f>
              <c:strCache>
                <c:ptCount val="1"/>
                <c:pt idx="0">
                  <c:v>Final Output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29472"/>
        <c:crosses val="autoZero"/>
        <c:crossBetween val="midCat"/>
      </c:valAx>
      <c:valAx>
        <c:axId val="62732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'Engineering Analysis'!$E$4</c:f>
              <c:strCache>
                <c:ptCount val="1"/>
                <c:pt idx="0">
                  <c:v>Output after last trim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3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en-US"/>
              <a:t>Acceleration Compensation</a:t>
            </a:r>
          </a:p>
          <a:p>
            <a:pPr algn="ctr">
              <a:defRPr/>
            </a:pPr>
            <a:r>
              <a:rPr lang="en-US" sz="1000"/>
              <a:t>(inches / mV/g)</a:t>
            </a:r>
          </a:p>
        </cx:rich>
      </cx:tx>
    </cx:title>
    <cx:plotArea>
      <cx:plotAreaRegion>
        <cx:series layoutId="boxWhisker" uniqueId="{00000007-1FC6-41F9-9C09-D65F0018B97B}">
          <cx:tx>
            <cx:txData>
              <cx:f>_xlchart.v1.0</cx:f>
              <cx:v>By:</cx:v>
            </cx:txData>
          </cx:tx>
          <cx:dataId val="0"/>
          <cx:layoutPr>
            <cx:statistics quartileMethod="exclusive"/>
          </cx:layoutPr>
        </cx:series>
        <cx:series layoutId="boxWhisker" uniqueId="{00000008-1FC6-41F9-9C09-D65F0018B97B}">
          <cx:tx>
            <cx:txData>
              <cx:f>_xlchart.v1.2</cx:f>
              <cx:v>By:</cx:v>
            </cx:txData>
          </cx:tx>
          <cx:dataId val="1"/>
          <cx:layoutPr>
            <cx:statistics quartileMethod="exclusive"/>
          </cx:layoutPr>
        </cx:series>
        <cx:series layoutId="boxWhisker" uniqueId="{00000009-1FC6-41F9-9C09-D65F0018B97B}">
          <cx:tx>
            <cx:txData>
              <cx:f>_xlchart.v1.4</cx:f>
              <cx:v>By:</cx:v>
            </cx:txData>
          </cx:tx>
          <cx:dataId val="2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b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91440</xdr:rowOff>
    </xdr:from>
    <xdr:to>
      <xdr:col>3</xdr:col>
      <xdr:colOff>373380</xdr:colOff>
      <xdr:row>2</xdr:row>
      <xdr:rowOff>45923</xdr:rowOff>
    </xdr:to>
    <xdr:pic>
      <xdr:nvPicPr>
        <xdr:cNvPr id="5" name="Picture 4" descr="PCB 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91440"/>
          <a:ext cx="2506980" cy="43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9862</xdr:colOff>
      <xdr:row>1</xdr:row>
      <xdr:rowOff>4706</xdr:rowOff>
    </xdr:from>
    <xdr:to>
      <xdr:col>19</xdr:col>
      <xdr:colOff>283285</xdr:colOff>
      <xdr:row>20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14792</xdr:colOff>
      <xdr:row>1</xdr:row>
      <xdr:rowOff>2912</xdr:rowOff>
    </xdr:from>
    <xdr:to>
      <xdr:col>12</xdr:col>
      <xdr:colOff>647700</xdr:colOff>
      <xdr:row>19</xdr:row>
      <xdr:rowOff>106680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0.35958</cdr:x>
      <cdr:y>0</cdr:y>
    </cdr:from>
    <cdr:to>
      <cdr:x>0.63463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3678" y="0"/>
          <a:ext cx="1257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Diaphragm Shift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file:///\\nydfs01.pcb.com\Shared\TCS\TC\Forms\TC012i%20Transducer%20Acceleration%20Data%20Sheet%20Instructions.AVI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Z32"/>
  <sheetViews>
    <sheetView showGridLines="0" tabSelected="1" view="pageBreakPreview" zoomScale="87" zoomScaleNormal="100" zoomScaleSheetLayoutView="87" workbookViewId="0">
      <selection activeCell="B4" sqref="B4:C4"/>
    </sheetView>
  </sheetViews>
  <sheetFormatPr defaultColWidth="10.7109375" defaultRowHeight="12.75" x14ac:dyDescent="0.2"/>
  <cols>
    <col min="1" max="1" width="10.7109375" style="43" customWidth="1"/>
    <col min="2" max="12" width="10.7109375" style="43"/>
    <col min="13" max="13" width="12.7109375" style="43" customWidth="1"/>
    <col min="14" max="15" width="14.140625" style="43" customWidth="1"/>
    <col min="16" max="17" width="12.28515625" style="43" customWidth="1"/>
    <col min="18" max="19" width="13.7109375" style="43" customWidth="1"/>
    <col min="20" max="20" width="15.7109375" style="43" customWidth="1"/>
    <col min="21" max="21" width="10.7109375" style="43"/>
    <col min="22" max="26" width="1.7109375" style="43" customWidth="1"/>
    <col min="27" max="27" width="8.28515625" style="43" hidden="1" customWidth="1"/>
    <col min="28" max="28" width="5.7109375" style="43" hidden="1" customWidth="1"/>
    <col min="29" max="29" width="17.28515625" style="43" hidden="1" customWidth="1"/>
    <col min="30" max="36" width="10.7109375" style="43" hidden="1" customWidth="1"/>
    <col min="37" max="39" width="11.7109375" style="43" hidden="1" customWidth="1"/>
    <col min="40" max="46" width="10.7109375" style="43" hidden="1" customWidth="1"/>
    <col min="47" max="52" width="5.28515625" style="43" hidden="1" customWidth="1"/>
    <col min="53" max="53" width="10.7109375" style="43" customWidth="1"/>
    <col min="54" max="54" width="13.7109375" style="43" customWidth="1"/>
    <col min="55" max="57" width="10.7109375" style="43" customWidth="1"/>
    <col min="58" max="16384" width="10.7109375" style="43"/>
  </cols>
  <sheetData>
    <row r="1" spans="1:52" ht="24.6" customHeight="1" x14ac:dyDescent="0.25">
      <c r="A1" s="192"/>
      <c r="F1" s="44" t="s">
        <v>28</v>
      </c>
      <c r="G1" s="44" t="s">
        <v>29</v>
      </c>
      <c r="O1" s="292" t="s">
        <v>121</v>
      </c>
      <c r="P1" s="292"/>
      <c r="Q1" s="292"/>
      <c r="R1" s="292"/>
      <c r="S1" s="292"/>
      <c r="T1" s="292"/>
      <c r="U1" s="257"/>
      <c r="AA1" s="259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1"/>
    </row>
    <row r="2" spans="1:52" x14ac:dyDescent="0.2">
      <c r="I2" s="223" t="s">
        <v>123</v>
      </c>
      <c r="J2" s="288" t="s">
        <v>122</v>
      </c>
      <c r="O2" s="292"/>
      <c r="P2" s="292"/>
      <c r="Q2" s="292"/>
      <c r="R2" s="292"/>
      <c r="S2" s="292"/>
      <c r="T2" s="292"/>
      <c r="U2" s="257"/>
      <c r="AA2" s="262"/>
      <c r="AB2" s="48"/>
      <c r="AC2" s="48"/>
      <c r="AD2" s="48"/>
      <c r="AE2" s="52" t="str">
        <f>Specifications!E3</f>
        <v>Initial Trim Range</v>
      </c>
      <c r="AF2" s="283" t="str">
        <f>IF(TRUE=ISERROR(VLOOKUP(B4,Specifications!$A$3:$AK$998,(Specifications!E2),FALSE)),"",
IF(VLOOKUP(B4,Specifications!$A$3:$AK$998,(Specifications!E2))="",AJ2,
VLOOKUP(B4,Specifications!$A$3:$AK$998,(Specifications!E2),FALSE)))</f>
        <v/>
      </c>
      <c r="AG2" s="50" t="str">
        <f>Specifications!E5</f>
        <v>mV/g</v>
      </c>
      <c r="AH2" s="48"/>
      <c r="AI2" s="52" t="str">
        <f>Specifications!B3</f>
        <v>Trim Range</v>
      </c>
      <c r="AJ2" s="283" t="str">
        <f>IF(TRUE=ISERROR(VLOOKUP(B4,Specifications!$A$3:$AK$998,(Specifications!B2),FALSE)),"",
VLOOKUP(B4,Specifications!$A$3:$AK$998,(Specifications!B2),FALSE))</f>
        <v/>
      </c>
      <c r="AK2" s="50" t="str">
        <f>Specifications!B5</f>
        <v>mV/g</v>
      </c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263"/>
    </row>
    <row r="3" spans="1:52" x14ac:dyDescent="0.2">
      <c r="N3" s="47"/>
      <c r="O3" s="292"/>
      <c r="P3" s="292"/>
      <c r="Q3" s="292"/>
      <c r="R3" s="292"/>
      <c r="S3" s="292"/>
      <c r="T3" s="292"/>
      <c r="U3" s="257"/>
      <c r="AA3" s="262"/>
      <c r="AB3" s="48"/>
      <c r="AC3" s="48"/>
      <c r="AD3" s="48"/>
      <c r="AE3" s="58" t="s">
        <v>34</v>
      </c>
      <c r="AF3" s="284" t="str">
        <f>IF(TRUE=ISERROR(VLOOKUP(B4,Specifications!$A$3:$AK$998,(Specifications!F2),FALSE)),"",
IF(VLOOKUP(B4,Specifications!$A$3:$AK$998,(Specifications!F2))="",AJ3,
VLOOKUP(B4,Specifications!$A$3:$AK$998,(Specifications!F2),FALSE)))</f>
        <v/>
      </c>
      <c r="AG3" s="50" t="str">
        <f>Specifications!F5</f>
        <v>mV/g</v>
      </c>
      <c r="AH3" s="48"/>
      <c r="AI3" s="58" t="s">
        <v>34</v>
      </c>
      <c r="AJ3" s="284" t="str">
        <f>IF(TRUE=ISERROR(VLOOKUP(B4,Specifications!$A$3:$AK$998,(Specifications!C2),FALSE)),"",
VLOOKUP(B4,Specifications!$A$3:$AK$998,(Specifications!C2),FALSE))</f>
        <v/>
      </c>
      <c r="AK3" s="50" t="str">
        <f>Specifications!C5</f>
        <v>mV/g</v>
      </c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263"/>
    </row>
    <row r="4" spans="1:52" ht="15.95" customHeight="1" x14ac:dyDescent="0.2">
      <c r="A4" s="49" t="str">
        <f>Specifications!A3</f>
        <v>Item #</v>
      </c>
      <c r="B4" s="289" t="s">
        <v>132</v>
      </c>
      <c r="C4" s="289"/>
      <c r="D4" s="51"/>
      <c r="E4" s="54"/>
      <c r="F4" s="286" t="str">
        <f>Specifications!H3</f>
        <v>Min. Output Before Trim</v>
      </c>
      <c r="G4" s="284" t="str">
        <f>IF(TRUE=ISERROR(VLOOKUP(B4,Specifications!$A$3:$AK$998,(Specifications!H2),FALSE)),"",
VLOOKUP(B4,Specifications!$A$3:$AK$998,(Specifications!H2),FALSE))</f>
        <v/>
      </c>
      <c r="H4" s="287" t="str">
        <f>Specifications!H5</f>
        <v>mV/g</v>
      </c>
      <c r="J4" s="54"/>
      <c r="K4" s="49" t="str">
        <f>Specifications!J3</f>
        <v>Acceleration Compensation</v>
      </c>
      <c r="L4" s="284" t="str">
        <f>IF(TRUE=ISERROR(VLOOKUP(B4,Specifications!$A$3:$AK$998,(Specifications!L2),FALSE)),"",
VLOOKUP(B4,Specifications!A3:AK998,(Specifications!L2),FALSE))</f>
        <v/>
      </c>
      <c r="M4" s="59" t="str">
        <f>Specifications!L5</f>
        <v>Inches / mV/G</v>
      </c>
      <c r="O4" s="292"/>
      <c r="P4" s="292"/>
      <c r="Q4" s="292"/>
      <c r="R4" s="292"/>
      <c r="S4" s="292"/>
      <c r="T4" s="292"/>
      <c r="U4" s="257"/>
      <c r="AA4" s="262"/>
      <c r="AB4" s="48"/>
      <c r="AC4" s="48"/>
      <c r="AD4" s="48"/>
      <c r="AE4" s="49" t="str">
        <f>Specifications!G3</f>
        <v>Initial Trim Target</v>
      </c>
      <c r="AF4" s="284" t="str">
        <f>IF(TRUE=ISERROR(VLOOKUP(B4,Specifications!$A$3:$AK$998,(Specifications!G2),FALSE)),"",
IF(VLOOKUP(B4,Specifications!$A$3:$AK$998,(Specifications!G2))="",AJ4,
VLOOKUP(B4,Specifications!$A$3:$AK$998,(Specifications!G2),FALSE)))</f>
        <v/>
      </c>
      <c r="AG4" s="61" t="str">
        <f>Specifications!G5</f>
        <v>mV/g</v>
      </c>
      <c r="AH4" s="48"/>
      <c r="AI4" s="49" t="str">
        <f>Specifications!D3</f>
        <v>Trim Target</v>
      </c>
      <c r="AJ4" s="284" t="str">
        <f>IF(TRUE=ISERROR(VLOOKUP(B4,Specifications!$A$3:$AK$998,(Specifications!D2),FALSE)),"",
VLOOKUP(B4,Specifications!$A$3:$AK$998,(Specifications!D2),FALSE))</f>
        <v/>
      </c>
      <c r="AK4" s="61" t="str">
        <f>Specifications!D5</f>
        <v>mV/g</v>
      </c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263"/>
    </row>
    <row r="5" spans="1:52" ht="15.95" customHeight="1" x14ac:dyDescent="0.2">
      <c r="A5" s="57" t="s">
        <v>12</v>
      </c>
      <c r="B5" s="290"/>
      <c r="C5" s="290"/>
      <c r="D5" s="51"/>
      <c r="E5" s="54"/>
      <c r="F5" s="55" t="str">
        <f>Specifications!I3</f>
        <v>Phase</v>
      </c>
      <c r="G5" s="284" t="str">
        <f>IF(TRUE=ISERROR(VLOOKUP(B4,Specifications!$A$3:$AK$998,(Specifications!I2),FALSE)),"",
VLOOKUP(B4,Specifications!$A$3:$AK$998,(Specifications!I2),FALSE))</f>
        <v/>
      </c>
      <c r="H5" s="50" t="str">
        <f>Specifications!I5</f>
        <v>Degrees</v>
      </c>
      <c r="J5" s="54"/>
      <c r="K5" s="49" t="str">
        <f>Specifications!M3</f>
        <v>Max Trim</v>
      </c>
      <c r="L5" s="284" t="str">
        <f>IF(TRUE=ISERROR(VLOOKUP(B4,Specifications!$A$3:$AK$998,(Specifications!M2),FALSE)),"",
VLOOKUP(B4,Specifications!A3:AK998,(Specifications!M2),FALSE))</f>
        <v/>
      </c>
      <c r="M5" s="54" t="str">
        <f>Specifications!M5</f>
        <v>Inches</v>
      </c>
      <c r="O5" s="292"/>
      <c r="P5" s="292"/>
      <c r="Q5" s="292"/>
      <c r="R5" s="292"/>
      <c r="S5" s="292"/>
      <c r="T5" s="292"/>
      <c r="U5" s="257"/>
      <c r="V5" s="48"/>
      <c r="W5" s="48"/>
      <c r="X5" s="48"/>
      <c r="Y5" s="48"/>
      <c r="Z5" s="48"/>
      <c r="AA5" s="262"/>
      <c r="AB5" s="48"/>
      <c r="AC5" s="48"/>
      <c r="AD5" s="48"/>
      <c r="AE5" s="48"/>
      <c r="AF5" s="56"/>
      <c r="AG5" s="56"/>
      <c r="AH5" s="56"/>
      <c r="AI5" s="56"/>
      <c r="AJ5" s="56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263"/>
    </row>
    <row r="6" spans="1:52" s="48" customFormat="1" ht="15.6" customHeight="1" x14ac:dyDescent="0.2">
      <c r="A6" s="60"/>
      <c r="B6" s="84" t="s">
        <v>85</v>
      </c>
      <c r="E6" s="48" t="s">
        <v>129</v>
      </c>
      <c r="O6" s="292"/>
      <c r="P6" s="292"/>
      <c r="Q6" s="292"/>
      <c r="R6" s="292"/>
      <c r="S6" s="292"/>
      <c r="T6" s="292"/>
      <c r="U6" s="257"/>
      <c r="AA6" s="262"/>
      <c r="AZ6" s="263"/>
    </row>
    <row r="7" spans="1:52" s="48" customFormat="1" ht="15.6" customHeight="1" thickBot="1" x14ac:dyDescent="0.25">
      <c r="A7" s="60"/>
      <c r="B7" s="84"/>
      <c r="E7" s="60"/>
      <c r="F7" s="268"/>
      <c r="G7" s="224"/>
      <c r="H7" s="53"/>
      <c r="J7" s="60"/>
      <c r="K7" s="268"/>
      <c r="O7" s="280"/>
      <c r="P7" s="280"/>
      <c r="Q7" s="280"/>
      <c r="R7" s="280"/>
      <c r="S7" s="280"/>
      <c r="T7" s="280"/>
      <c r="U7" s="257"/>
      <c r="AA7" s="262"/>
      <c r="AF7" s="264" t="s">
        <v>101</v>
      </c>
      <c r="AG7" s="48" t="s">
        <v>102</v>
      </c>
      <c r="AZ7" s="263"/>
    </row>
    <row r="8" spans="1:52" s="48" customFormat="1" ht="15.6" customHeight="1" thickBot="1" x14ac:dyDescent="0.25">
      <c r="A8" s="60"/>
      <c r="B8" s="236" t="s">
        <v>13</v>
      </c>
      <c r="C8" s="281" t="s">
        <v>124</v>
      </c>
      <c r="D8" s="282" t="s">
        <v>125</v>
      </c>
      <c r="E8" s="237" t="s">
        <v>14</v>
      </c>
      <c r="F8" s="281" t="s">
        <v>124</v>
      </c>
      <c r="G8" s="282" t="s">
        <v>125</v>
      </c>
      <c r="H8" s="237" t="s">
        <v>15</v>
      </c>
      <c r="I8" s="281" t="s">
        <v>124</v>
      </c>
      <c r="J8" s="281" t="s">
        <v>125</v>
      </c>
      <c r="K8" s="236" t="s">
        <v>16</v>
      </c>
      <c r="L8" s="282" t="s">
        <v>124</v>
      </c>
      <c r="M8" s="295" t="s">
        <v>75</v>
      </c>
      <c r="N8" s="296"/>
      <c r="O8" s="296"/>
      <c r="P8" s="297"/>
      <c r="Q8" s="297"/>
      <c r="R8" s="297"/>
      <c r="S8" s="298"/>
      <c r="T8" s="252"/>
      <c r="U8" s="249"/>
      <c r="AA8" s="262"/>
      <c r="AD8" s="64" t="s">
        <v>74</v>
      </c>
      <c r="AG8" s="48" t="s">
        <v>103</v>
      </c>
      <c r="AO8" s="56"/>
      <c r="AP8" s="56"/>
      <c r="AQ8" s="56"/>
      <c r="AR8" s="56"/>
      <c r="AS8" s="56"/>
      <c r="AT8" s="56"/>
      <c r="AU8" s="56"/>
      <c r="AV8" s="56"/>
      <c r="AW8" s="56"/>
      <c r="AZ8" s="263"/>
    </row>
    <row r="9" spans="1:52" s="62" customFormat="1" ht="16.899999999999999" customHeight="1" thickBot="1" x14ac:dyDescent="0.25">
      <c r="B9" s="233" t="s">
        <v>110</v>
      </c>
      <c r="C9" s="234"/>
      <c r="D9" s="235" t="str">
        <f>IF(TRUE=OR(D32=0),"-","")</f>
        <v>-</v>
      </c>
      <c r="E9" s="233" t="s">
        <v>110</v>
      </c>
      <c r="F9" s="235"/>
      <c r="G9" s="235" t="str">
        <f>IF(TRUE=OR(G32=0),"-","")</f>
        <v>-</v>
      </c>
      <c r="H9" s="233" t="s">
        <v>110</v>
      </c>
      <c r="I9" s="235"/>
      <c r="J9" s="235" t="str">
        <f>IF(TRUE=OR(J32=0),"-","")</f>
        <v>-</v>
      </c>
      <c r="K9" s="233" t="s">
        <v>110</v>
      </c>
      <c r="L9" s="5"/>
      <c r="M9" s="238"/>
      <c r="N9" s="238"/>
      <c r="O9" s="238"/>
      <c r="P9" s="254" t="str">
        <f>IF(TRUE=ISERROR(VLOOKUP(B4,Specifications!$A$3:$AK$998,(Specifications!U2),FALSE)),"",
IF(ISBLANK(VLOOKUP(B4,Specifications!$A$3:$AK$998,(Specifications!U2),FALSE)),"",
VLOOKUP(B4,Specifications!$A$3:$AK$998,(Specifications!U2),FALSE)))</f>
        <v/>
      </c>
      <c r="Q9" s="82">
        <f>IF(TRUE=ISERROR(VLOOKUP(B4,Specifications!$A$3:$AK$998,(Specifications!W2),FALSE)),,
IF(ISBLANK(VLOOKUP(B4,Specifications!$A$3:$AK$998,(Specifications!W2),FALSE)),,
VLOOKUP(B4,Specifications!$A$3:$AK$998,(Specifications!W2),FALSE)))</f>
        <v>0</v>
      </c>
      <c r="R9" s="255">
        <f>IF(TRUE=ISERROR(VLOOKUP(B4,Specifications!$A$3:$AK$998,(Specifications!V2),FALSE)),,
IF(ISBLANK(VLOOKUP(B4,Specifications!$A$3:$AK$998,(Specifications!V2),FALSE)),,
VLOOKUP(B4,Specifications!$A$3:$AK$998,(Specifications!V2),FALSE)))</f>
        <v>0</v>
      </c>
      <c r="S9" s="256" t="str">
        <f>IF(P9="","","A Grade")</f>
        <v/>
      </c>
      <c r="U9" s="63"/>
      <c r="V9" s="48"/>
      <c r="W9" s="48"/>
      <c r="X9" s="48"/>
      <c r="Y9" s="48"/>
      <c r="Z9" s="48"/>
      <c r="AA9" s="262"/>
      <c r="AB9" s="48"/>
      <c r="AC9" s="48"/>
      <c r="AD9" s="45">
        <v>1</v>
      </c>
      <c r="AE9" s="48"/>
      <c r="AF9" s="48"/>
      <c r="AG9" s="56" t="s">
        <v>111</v>
      </c>
      <c r="AH9" s="56"/>
      <c r="AI9" s="56"/>
      <c r="AJ9" s="56"/>
      <c r="AK9" s="56"/>
      <c r="AL9" s="48"/>
      <c r="AM9" s="48"/>
      <c r="AN9" s="48"/>
      <c r="AO9" s="56"/>
      <c r="AP9" s="56"/>
      <c r="AQ9" s="56"/>
      <c r="AR9" s="56"/>
      <c r="AS9" s="56"/>
      <c r="AT9" s="56"/>
      <c r="AU9" s="56"/>
      <c r="AV9" s="56"/>
      <c r="AW9" s="56"/>
      <c r="AX9" s="48"/>
      <c r="AY9" s="56"/>
      <c r="AZ9" s="265"/>
    </row>
    <row r="10" spans="1:52" s="62" customFormat="1" ht="16.899999999999999" customHeight="1" thickBot="1" x14ac:dyDescent="0.25">
      <c r="B10" s="226" t="s">
        <v>1</v>
      </c>
      <c r="C10" s="225"/>
      <c r="D10" s="2" t="str">
        <f>IF(TRUE=OR(D32=0),"-","")</f>
        <v>-</v>
      </c>
      <c r="E10" s="226" t="s">
        <v>1</v>
      </c>
      <c r="F10" s="2"/>
      <c r="G10" s="2" t="str">
        <f>IF(TRUE=OR(G32=0),"-","")</f>
        <v>-</v>
      </c>
      <c r="H10" s="226" t="s">
        <v>1</v>
      </c>
      <c r="I10" s="2"/>
      <c r="J10" s="2" t="str">
        <f>IF(TRUE=OR(J32=0),"-","")</f>
        <v>-</v>
      </c>
      <c r="K10" s="226" t="s">
        <v>1</v>
      </c>
      <c r="L10" s="5"/>
      <c r="M10" s="78" t="str">
        <f>IF(TRUE=ISERROR(VLOOKUP(B4,Specifications!$A$3:$AK$998,(Specifications!O2),FALSE)),"",
IF(ISBLANK(VLOOKUP(B4,Specifications!$A$3:$AK$998,(Specifications!O2),FALSE)),"",VLOOKUP(B4,Specifications!$A$3:$AK$998,(Specifications!O2),FALSE)))</f>
        <v/>
      </c>
      <c r="N10" s="78" t="str">
        <f>IF(TRUE=ISERROR(VLOOKUP(B4,Specifications!$A$3:$AK$998,(Specifications!P2),FALSE)),"",
IF(ISBLANK(VLOOKUP(B4,Specifications!$A$3:$AK$998,(Specifications!P2),FALSE)),"",
VLOOKUP(B4,Specifications!$A$3:$AK$998,(Specifications!P2),FALSE)))</f>
        <v/>
      </c>
      <c r="O10" s="86" t="str">
        <f>IF(TRUE=ISERROR(VLOOKUP(B4,Specifications!$A$3:$AK$998,(Specifications!AG2),FALSE)),"",
IF(ISBLANK(VLOOKUP(B4,Specifications!$A$3:$AK$998,(Specifications!AG2),FALSE)),"",
VLOOKUP(B4,Specifications!$A$3:$AK$998,(Specifications!AG2),FALSE)))</f>
        <v/>
      </c>
      <c r="P10" s="254" t="str">
        <f>IF(TRUE=ISERROR(VLOOKUP(B4,Specifications!$A$3:$AK$998,(Specifications!X2),FALSE)),"",
IF(ISBLANK(VLOOKUP(B4,Specifications!$A$3:$AK$998,(Specifications!X2),FALSE)),"",
VLOOKUP(B4,Specifications!$A$3:$AK$998,(Specifications!X2),FALSE)))</f>
        <v/>
      </c>
      <c r="Q10" s="82">
        <f>IF(TRUE=ISERROR(VLOOKUP(B4,Specifications!$A$3:$AK$998,(Specifications!Z2),FALSE)),,
IF(ISBLANK(VLOOKUP(B4,Specifications!$A$3:$AK$998,(Specifications!Z2),FALSE)),,
VLOOKUP(B4,Specifications!$A$3:$AK$998,(Specifications!Z2),FALSE)))</f>
        <v>0</v>
      </c>
      <c r="R10" s="255">
        <f>IF(TRUE=ISERROR(VLOOKUP(B4,Specifications!$A$3:$AK$998,(Specifications!Y2),FALSE)),,
IF(ISBLANK(VLOOKUP(B4,Specifications!$A$3:$AK$998,(Specifications!Y2),FALSE)),,
VLOOKUP(B4,Specifications!$A$3:$AK$998,(Specifications!Y2),FALSE)))</f>
        <v>0</v>
      </c>
      <c r="S10" s="256" t="str">
        <f>IF(P10="","","B Grade")</f>
        <v/>
      </c>
      <c r="U10" s="63"/>
      <c r="V10" s="48"/>
      <c r="W10" s="48"/>
      <c r="X10" s="48"/>
      <c r="Y10" s="48"/>
      <c r="Z10" s="48"/>
      <c r="AA10" s="262"/>
      <c r="AB10" s="48"/>
      <c r="AC10" s="48"/>
      <c r="AD10" s="45">
        <v>2</v>
      </c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265"/>
    </row>
    <row r="11" spans="1:52" s="62" customFormat="1" ht="16.899999999999999" customHeight="1" thickBot="1" x14ac:dyDescent="0.25">
      <c r="B11" s="227" t="s">
        <v>0</v>
      </c>
      <c r="C11" s="2"/>
      <c r="D11" s="293" t="str">
        <f>IF(TRUE=AND(D32&gt;0,OR(D9="-",D9="")),"Trim Required",
IF(FALSE=OR(D9="-",D9=""),"Trim Complete",""))</f>
        <v/>
      </c>
      <c r="E11" s="226" t="s">
        <v>0</v>
      </c>
      <c r="F11" s="2"/>
      <c r="G11" s="293" t="str">
        <f>IF(TRUE=AND(G32&gt;0,OR(G9="-",G9="")),"Trim Required",
IF(FALSE=OR(G9="-",G9=""),"Trim Complete",""))</f>
        <v/>
      </c>
      <c r="H11" s="226" t="s">
        <v>0</v>
      </c>
      <c r="I11" s="2"/>
      <c r="J11" s="293" t="str">
        <f>IF(TRUE=AND(J32&gt;0,OR(J9="-",J9="")),"Trim Required",
IF(FALSE=OR(J9="-",J9=""),"Trim Complete",""))</f>
        <v/>
      </c>
      <c r="K11" s="226" t="s">
        <v>0</v>
      </c>
      <c r="L11" s="5"/>
      <c r="M11" s="78"/>
      <c r="N11" s="78" t="s">
        <v>34</v>
      </c>
      <c r="O11" s="78" t="s">
        <v>34</v>
      </c>
      <c r="P11" s="254" t="str">
        <f>IF(TRUE=ISERROR(VLOOKUP(B4,Specifications!$A$3:$AK$998,(Specifications!AA2),FALSE)),"",
IF(ISBLANK(VLOOKUP(B4,Specifications!$A$3:$AK$998,(Specifications!AA2),FALSE)),"",
VLOOKUP(B4,Specifications!$A$3:$AK$998,(Specifications!AA2),FALSE)))</f>
        <v/>
      </c>
      <c r="Q11" s="82">
        <f>IF(TRUE=ISERROR(VLOOKUP(B4,Specifications!$A$3:$AK$998,(Specifications!AC2),FALSE)),,
IF(ISBLANK(VLOOKUP(B4,Specifications!$A$3:$AK$998,(Specifications!AC2),FALSE)),,
VLOOKUP(B4,Specifications!$A$3:$AK$998,(Specifications!AC2),FALSE)))</f>
        <v>0</v>
      </c>
      <c r="R11" s="255">
        <f>IF(TRUE=ISERROR(VLOOKUP(B4,Specifications!$A$3:$AK$998,(Specifications!AB2),FALSE)),,
IF(ISBLANK(VLOOKUP(B4,Specifications!$A$3:$AK$998,(Specifications!AB2),FALSE)),,
VLOOKUP(B4,Specifications!$A$3:$AK$998,(Specifications!AB2),FALSE)))</f>
        <v>0</v>
      </c>
      <c r="S11" s="256" t="str">
        <f>IF(P11="","","C Grade")</f>
        <v/>
      </c>
      <c r="U11" s="63"/>
      <c r="V11" s="48"/>
      <c r="W11" s="48"/>
      <c r="X11" s="48"/>
      <c r="Y11" s="48"/>
      <c r="Z11" s="48"/>
      <c r="AA11" s="262"/>
      <c r="AB11" s="48"/>
      <c r="AC11" s="48"/>
      <c r="AD11" s="45">
        <v>3</v>
      </c>
      <c r="AE11" s="56"/>
      <c r="AF11" s="56"/>
      <c r="AG11" s="56"/>
      <c r="AH11" s="56" t="s">
        <v>43</v>
      </c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265"/>
    </row>
    <row r="12" spans="1:52" s="62" customFormat="1" ht="16.899999999999999" customHeight="1" thickBot="1" x14ac:dyDescent="0.25">
      <c r="B12" s="228" t="s">
        <v>71</v>
      </c>
      <c r="C12" s="4"/>
      <c r="D12" s="294"/>
      <c r="E12" s="229" t="s">
        <v>71</v>
      </c>
      <c r="F12" s="4"/>
      <c r="G12" s="294"/>
      <c r="H12" s="229" t="s">
        <v>71</v>
      </c>
      <c r="I12" s="4"/>
      <c r="J12" s="294"/>
      <c r="K12" s="229" t="s">
        <v>71</v>
      </c>
      <c r="L12" s="230"/>
      <c r="M12" s="85"/>
      <c r="N12" s="79" t="str">
        <f>IF(TRUE=ISERROR(VLOOKUP(B4,Specifications!$A$3:$AK$998,(Specifications!Q2),FALSE)),"",
IF(ISBLANK(VLOOKUP(B4,Specifications!$A$3:$AK$998,(Specifications!Q2),FALSE)),"",
VLOOKUP(B4,Specifications!$A$3:$AK$998,(Specifications!Q2),FALSE)))</f>
        <v/>
      </c>
      <c r="O12" s="239" t="str">
        <f>IF(TRUE=ISERROR(VLOOKUP(B4,Specifications!$A$3:$AK$998,(Specifications!AH2),FALSE)),"",
IF(ISBLANK(VLOOKUP(B4,Specifications!$A$3:$AK$998,(Specifications!AH2),FALSE)),"",
VLOOKUP(B4,Specifications!$A$3:$AK$998,(Specifications!AH2),FALSE)))</f>
        <v/>
      </c>
      <c r="P12" s="254" t="str">
        <f>IF(TRUE=ISERROR(VLOOKUP(B4,Specifications!$A$3:$AK$998,(Specifications!AD2),FALSE)),"",
IF(ISBLANK(VLOOKUP(B4,Specifications!$A$3:$AK$998,(Specifications!AD2),FALSE)),"",
VLOOKUP(B4,Specifications!$A$3:$AK$998,(Specifications!AD2),FALSE)))</f>
        <v/>
      </c>
      <c r="Q12" s="82">
        <f>IF(TRUE=ISERROR(VLOOKUP(B4,Specifications!$A$3:$AK$998,(Specifications!AF2),FALSE)),,
IF(ISBLANK(VLOOKUP(B4,Specifications!$A$3:$AK$998,(Specifications!AF2),FALSE)),,
VLOOKUP(B4,Specifications!$A$3:$AK$998,(Specifications!AF2),FALSE)))</f>
        <v>0</v>
      </c>
      <c r="R12" s="255">
        <f>IF(TRUE=ISERROR(VLOOKUP(B4,Specifications!$A$3:$AK$998,(Specifications!AE2),FALSE)),,
IF(ISBLANK(VLOOKUP(B4,Specifications!$A$3:$AK$998,(Specifications!AE2),FALSE)),,
VLOOKUP(B4,Specifications!$A$3:$AK$998,(Specifications!AE2),FALSE)))</f>
        <v>0</v>
      </c>
      <c r="S12" s="256" t="str">
        <f>IF(P12="","","D Grade")</f>
        <v/>
      </c>
      <c r="U12" s="63"/>
      <c r="V12" s="56"/>
      <c r="W12" s="56"/>
      <c r="X12" s="56"/>
      <c r="Y12" s="56"/>
      <c r="Z12" s="56"/>
      <c r="AA12" s="266"/>
      <c r="AB12" s="56"/>
      <c r="AC12" s="56"/>
      <c r="AD12" s="92">
        <v>4</v>
      </c>
      <c r="AE12" s="95" t="s">
        <v>70</v>
      </c>
      <c r="AF12" s="96" t="b">
        <f>AND(M10="")</f>
        <v>1</v>
      </c>
      <c r="AG12" s="96"/>
      <c r="AH12" s="96"/>
      <c r="AI12" s="96"/>
      <c r="AJ12" s="96"/>
      <c r="AK12" s="96" t="b">
        <f>AND(P9="",P10="",P11="")</f>
        <v>1</v>
      </c>
      <c r="AL12" s="97" t="b">
        <f>AND(Q9="",Q10="",Q11="")</f>
        <v>0</v>
      </c>
      <c r="AM12" s="96" t="b">
        <f>AND(R9="",R10="",R11="")</f>
        <v>0</v>
      </c>
      <c r="AN12" s="48"/>
      <c r="AO12" s="48"/>
      <c r="AP12" s="56"/>
      <c r="AQ12" s="291" t="str">
        <f>K4</f>
        <v>Acceleration Compensation</v>
      </c>
      <c r="AR12" s="291"/>
      <c r="AS12" s="291"/>
      <c r="AT12" s="65"/>
      <c r="AU12" s="56"/>
      <c r="AV12" s="56"/>
      <c r="AW12" s="56"/>
      <c r="AX12" s="56"/>
      <c r="AY12" s="56"/>
      <c r="AZ12" s="265"/>
    </row>
    <row r="13" spans="1:52" ht="39.6" customHeight="1" x14ac:dyDescent="0.2">
      <c r="A13" s="66" t="s">
        <v>18</v>
      </c>
      <c r="B13" s="240" t="s">
        <v>83</v>
      </c>
      <c r="C13" s="241" t="s">
        <v>22</v>
      </c>
      <c r="D13" s="242" t="s">
        <v>24</v>
      </c>
      <c r="E13" s="240" t="s">
        <v>83</v>
      </c>
      <c r="F13" s="241" t="s">
        <v>22</v>
      </c>
      <c r="G13" s="242" t="s">
        <v>24</v>
      </c>
      <c r="H13" s="240" t="s">
        <v>83</v>
      </c>
      <c r="I13" s="241" t="s">
        <v>22</v>
      </c>
      <c r="J13" s="242" t="s">
        <v>24</v>
      </c>
      <c r="K13" s="240" t="s">
        <v>83</v>
      </c>
      <c r="L13" s="242" t="s">
        <v>23</v>
      </c>
      <c r="M13" s="240" t="s">
        <v>25</v>
      </c>
      <c r="N13" s="241" t="s">
        <v>84</v>
      </c>
      <c r="O13" s="241" t="s">
        <v>82</v>
      </c>
      <c r="P13" s="241" t="s">
        <v>27</v>
      </c>
      <c r="Q13" s="241" t="s">
        <v>133</v>
      </c>
      <c r="R13" s="241" t="s">
        <v>134</v>
      </c>
      <c r="S13" s="276" t="s">
        <v>17</v>
      </c>
      <c r="T13" s="285" t="s">
        <v>131</v>
      </c>
      <c r="V13" s="23"/>
      <c r="W13" s="23"/>
      <c r="X13" s="23"/>
      <c r="Y13" s="23"/>
      <c r="Z13" s="23"/>
      <c r="AA13" s="267"/>
      <c r="AB13" s="268"/>
      <c r="AC13" s="67" t="s">
        <v>131</v>
      </c>
      <c r="AD13" s="67" t="s">
        <v>63</v>
      </c>
      <c r="AE13" s="93" t="s">
        <v>70</v>
      </c>
      <c r="AF13" s="93" t="s">
        <v>25</v>
      </c>
      <c r="AG13" s="93" t="s">
        <v>64</v>
      </c>
      <c r="AH13" s="93" t="s">
        <v>65</v>
      </c>
      <c r="AI13" s="93" t="s">
        <v>99</v>
      </c>
      <c r="AJ13" s="93" t="s">
        <v>100</v>
      </c>
      <c r="AK13" s="93" t="s">
        <v>27</v>
      </c>
      <c r="AL13" s="94" t="s">
        <v>61</v>
      </c>
      <c r="AM13" s="93" t="s">
        <v>26</v>
      </c>
      <c r="AN13" s="68" t="s">
        <v>62</v>
      </c>
      <c r="AO13" s="68" t="s">
        <v>17</v>
      </c>
      <c r="AP13" s="48"/>
      <c r="AQ13" s="69" t="str">
        <f>B9</f>
        <v>By:</v>
      </c>
      <c r="AR13" s="69" t="str">
        <f>E9</f>
        <v>By:</v>
      </c>
      <c r="AS13" s="69" t="str">
        <f>H9</f>
        <v>By:</v>
      </c>
      <c r="AT13" s="67" t="s">
        <v>72</v>
      </c>
      <c r="AU13" s="48"/>
      <c r="AV13" s="48"/>
      <c r="AW13" s="48"/>
      <c r="AX13" s="56"/>
      <c r="AY13" s="48"/>
      <c r="AZ13" s="263"/>
    </row>
    <row r="14" spans="1:52" ht="35.1" customHeight="1" x14ac:dyDescent="0.2">
      <c r="A14" s="26"/>
      <c r="B14" s="1"/>
      <c r="C14" s="2"/>
      <c r="D14" s="70" t="str">
        <f t="shared" ref="D14" si="0">IF(B14="","",
IF(C14="","",
IF($G$5="","",
IF(FALSE=AND(ABS(C14)&gt;=$G$5-90,ABS(C14)&lt;=$G$5+90),"FAIL Phase",
IF(B14&lt;$AF$2,"FAIL Output",
IF(TRUE=AND(B14&gt;=$AF$2,B14&lt;=$AF$3),"PASS",
IF((B14-$AF$4)*$L$4&lt;0.001,"PASS",
IF($L$5&gt;(B14-$AF$4)*$L$4,ROUND((B14-$AF$4)*$L$4,3),$L$5))))))))</f>
        <v/>
      </c>
      <c r="E14" s="1"/>
      <c r="F14" s="2"/>
      <c r="G14" s="221" t="str">
        <f>IF(E14="","",
IF(F14="","",
IF($G$5="","",
IF(FALSE=AND(ABS(F14)&gt;=$G$5-90,ABS(F14)&lt;=$G$5+90),"FAIL Phase",
IF(E14&lt;$AJ$2,"FAIL Output",
IF(TRUE=AND(E14&gt;=$AJ$2,E14&lt;=$AJ$3),"PASS",
IF((E14-$AJ$4)*$L$4&lt;0.001,"PASS",
IF($L$5&gt;((E14-$AJ$4)*$L$4+D14),ROUND((E14-$AJ$4)*$L$4,3),
IF($L$5-D14&lt;0.001,"FAIL MAX TRIM",
IF(($L$5-D14)&lt;0.001,"PASS",
$L$5-D14))))))))))</f>
        <v/>
      </c>
      <c r="H14" s="1"/>
      <c r="I14" s="2"/>
      <c r="J14" s="221" t="str">
        <f>IF(H14="","",
IF(I14="","",
IF($G$5="","",
IF(FALSE=AND(ABS(I14)&gt;=$G$5-90,ABS(I14)&lt;=$G$5+90),"FAIL Phase",
IF(H14&lt;$AJ$2,"FAIL Output",
IF(TRUE=AND(H14&gt;=$AJ$2,H14&lt;=$AJ$3),"PASS",
IF((H14-$AJ$4)*$L$4&lt;0.001,"PASS",
IF($L$5&gt;((H14-$AJ$4)*$L$4+G14+D14),ROUND((H14-$AJ$4)*$L$4,3),
IF($L$5-G14-D14&lt;0.001,"FAIL MAX TRIM",
$L$5-G14-D14)))))))))</f>
        <v/>
      </c>
      <c r="K14" s="1"/>
      <c r="L14" s="274"/>
      <c r="M14" s="1" t="str">
        <f t="shared" ref="M14:N28" si="1">IF(M$9="Not Tested","Not Tested","")</f>
        <v/>
      </c>
      <c r="N14" s="2" t="str">
        <f t="shared" si="1"/>
        <v/>
      </c>
      <c r="O14" s="2" t="str">
        <f>IF(O$10="Not Tested","Not Tested","")</f>
        <v/>
      </c>
      <c r="P14" s="2" t="str">
        <f>IF(P$9="Not Tested","Not Tested","")</f>
        <v/>
      </c>
      <c r="Q14" s="222" t="str">
        <f t="shared" ref="Q14:Q28" si="2">IF($Q$9="Not Tested","Not Tested","")</f>
        <v/>
      </c>
      <c r="R14" s="83" t="str">
        <f t="shared" ref="R14:R28" si="3">IF(TRUE=AND($L$12="",N14="",O14="",K14=""),"",
IF(A14="","",
IF($R$9="Not Tested","Not Tested",
IF($L$12="","Enter Amp Cap Value",
IF(K14="","Enter Accel Output",
IF(N14="","Enter Element Cap Value",
IF(O14="","Enter Charge Cal Value",
IF(O14="Not Tested",K14,
IF(TRUE=ISERROR(K14/(O14/(N14+$L$12)*1000)),"",
(ROUND(K14/(O14/(N14+$L$12)*1000),4)))))))))))</f>
        <v/>
      </c>
      <c r="S14" s="250" t="str">
        <f t="shared" ref="S14:S28" si="4">IF(AD14=TRUE,"",
IF(AE14=TRUE,"",
IF(AO14="Fail","Fail",
IF(AO14=$AD$9,$S$9,
IF(AO14=$AD$10,$S$10,
IF(AO14=$AD$11,$S$11,
IF(AO14=$AD$12,$S$12,
"Error")))))))</f>
        <v/>
      </c>
      <c r="T14" s="253" t="str">
        <f t="shared" ref="T14:T28" si="5">AC14</f>
        <v/>
      </c>
      <c r="V14" s="23"/>
      <c r="W14" s="23"/>
      <c r="X14" s="23"/>
      <c r="Y14" s="23"/>
      <c r="Z14" s="23"/>
      <c r="AA14" s="267"/>
      <c r="AB14" s="268"/>
      <c r="AC14" s="46" t="str">
        <f>IF(AF14="FAIL","305 Insulation Resistance Low",
IF(AI14="FAIL","101 Sensitivity Low",
IF(AJ14="FAIL","100 Sensitivity High",
IF(AK14="FAIL","107 Resonant Frequency",
IF(AL14="FAIL","111 Non Linear",
IF(AM14="FAIL","110 Acceleration Sensitivity",
""))))))</f>
        <v/>
      </c>
      <c r="AD14" s="46" t="b">
        <f>OR($L$12="",K14="", M14="",N14="",O14="", P14="",Q14="",R14="")</f>
        <v>1</v>
      </c>
      <c r="AE14" s="46" t="b">
        <f>OR(AF12=TRUE,AG12=TRUE,AH12=TRUE,AI12=TRUE,AJ12=TRUE,AK12=TRUE,AM12=TRUE,AL12=TRUE)</f>
        <v>1</v>
      </c>
      <c r="AF14" s="46" t="str">
        <f t="shared" ref="AF14:AF28" si="6">IF(M14="","",
IF(M14="FAIL","FAIL",
IF(M14&gt;=$M$10,$AD$9,
"FAIL")))</f>
        <v/>
      </c>
      <c r="AG14" s="220" t="str">
        <f t="shared" ref="AG14:AG28" si="7">IF(N14="","",
IF(TRUE=OR($N$10="",$N$12=""),"",
IF($B$4="21899-01",
IF(N14&gt;=$N$10,$AD$9,
"FAIL"),"")))</f>
        <v/>
      </c>
      <c r="AH14" s="46" t="str">
        <f t="shared" ref="AH14:AH28" si="8">IF(N14="","",
IF(TRUE=OR($N$10="",$N$12=""),"",
IF($B$4="21899-01",
IF(N14&lt;=$N$12,$AD$9,
"FAIL"),"")))</f>
        <v/>
      </c>
      <c r="AI14" s="219" t="str">
        <f t="shared" ref="AI14:AI28" si="9">IF(O14="","",
IF(TRUE=OR($O$10="",$O$12=""),"",
IF(O14&gt;=$O$10,$AD$9,
"FAIL")))</f>
        <v/>
      </c>
      <c r="AJ14" s="46" t="str">
        <f t="shared" ref="AJ14:AJ28" si="10">IF(O14="","",
IF(TRUE=OR($O$10="",$O$12=""),"",
IF(O14&lt;=$O$12,$AD$9,
"FAIL")))</f>
        <v/>
      </c>
      <c r="AK14" s="46" t="str">
        <f t="shared" ref="AK14:AK28" si="11">IF(P14="","",
IF(P14&gt;=$P$9,$AD$9,
IF(P14&gt;=$P$10,$AD$10,
IF(P14&gt;=$P$11,$AD$11,
IF(P14&gt;=$P$12,$AD$12,
"FAIL")))))</f>
        <v/>
      </c>
      <c r="AL14" s="46" t="str">
        <f t="shared" ref="AL14:AL28" si="12">IF(Q14="","",
IF(Q14&lt;=$Q$9,$AD$9,
IF(Q14&lt;=$Q$10,$AD$10,
IF(Q14&lt;=$Q$11,$AD$11,
IF(Q14&lt;=$Q$12,$AD$12,
"FAIL")))))</f>
        <v/>
      </c>
      <c r="AM14" s="46" t="str">
        <f>IF(R14="","",
IF(TRUE=AND($L$12&lt;&gt;"",N14&lt;&gt;"",O14&lt;&gt;"",K14&lt;&gt;""),
IF(TRUE=$R$9&lt;&gt;"-",IF(R14&lt;=$R$9,$AD$9,
IF(TRUE=$R$10&lt;&gt;"-",IF(R14&lt;=$R$10,$AD$10,
IF(TRUE=$R$11&lt;&gt;"-",IF(R14&lt;=$R$11,$AD$11,
IF(TRUE=$R$12&lt;&gt;"-",IF(R14&lt;=$R$12,$AD$12,
"FAIL"))))))))))</f>
        <v/>
      </c>
      <c r="AN14" s="46" t="b">
        <f t="shared" ref="AN14:AN28" si="13">OR(AF14="Fail",AG14="Fail",AH14="Fail",AI14="Fail",AJ14="Fail",AK14="Fail",AM14="Fail",AL14="Fail")</f>
        <v>0</v>
      </c>
      <c r="AO14" s="46">
        <f t="shared" ref="AO14:AO28" si="14">IF(AN14=TRUE,"Fail",MAX(AK14:AM14))</f>
        <v>0</v>
      </c>
      <c r="AP14" s="48"/>
      <c r="AQ14" s="46" t="str">
        <f t="shared" ref="AQ14:AQ29" si="15">IF(TRUE=ISTEXT(D14),"",
IF(D14&gt;0,D14/(B14-E14),""))</f>
        <v/>
      </c>
      <c r="AR14" s="46" t="str">
        <f t="shared" ref="AR14:AR28" si="16">IF(TRUE=ISTEXT(G14),"",
IF(G14&gt;0,G14/(E14-H14),""))</f>
        <v/>
      </c>
      <c r="AS14" s="46" t="str">
        <f t="shared" ref="AS14:AS28" si="17">IF(TRUE=ISTEXT(J14),"",
IF(J14&gt;0,J14/(H14-K14),""))</f>
        <v/>
      </c>
      <c r="AT14" s="71" t="str">
        <f t="shared" ref="AT14:AT28" si="18">IF(H14&gt;0,H14,
IF(E14&gt;0,E14,
IF(B14&gt;0,B14,"")))</f>
        <v/>
      </c>
      <c r="AU14" s="48"/>
      <c r="AV14" s="48"/>
      <c r="AW14" s="48"/>
      <c r="AX14" s="48"/>
      <c r="AY14" s="48"/>
      <c r="AZ14" s="263"/>
    </row>
    <row r="15" spans="1:52" ht="35.1" customHeight="1" x14ac:dyDescent="0.2">
      <c r="A15" s="26"/>
      <c r="B15" s="1"/>
      <c r="C15" s="2"/>
      <c r="D15" s="70" t="str">
        <f t="shared" ref="D15:D18" si="19">IF(B15="","",
IF(C15="","",
IF($G$5="","",
IF(FALSE=AND(ABS(C15)&gt;=$G$5-90,ABS(C15)&lt;=$G$5+90),"FAIL Phase",
IF(B15&lt;$AF$2,"FAIL Output",
IF(TRUE=AND(B15&gt;=$AF$2,B15&lt;=$AF$3),"PASS",
IF((B15-$AF$4)*$L$4&lt;0.001,"PASS",
IF($L$5&gt;(B15-$AF$4)*$L$4,ROUND((B15-$AF$4)*$L$4,3),$L$5))))))))</f>
        <v/>
      </c>
      <c r="E15" s="1"/>
      <c r="F15" s="2"/>
      <c r="G15" s="221" t="str">
        <f t="shared" ref="G15:G28" si="20">IF(E15="","",
IF(F15="","",
IF($G$5="","",
IF(FALSE=AND(ABS(F15)&gt;=$G$5-90,ABS(F15)&lt;=$G$5+90),"FAIL Phase",
IF(E15&lt;$AJ$2,"FAIL Output",
IF(TRUE=AND(E15&gt;=$AJ$2,E15&lt;=$AJ$3),"PASS",
IF((E15-$AJ$4)*$L$4&lt;0.001,"PASS",
IF($L$5&gt;((E15-$AJ$4)*$L$4+D15),ROUND((E15-$AJ$4)*$L$4,3),
IF($L$5-D15&lt;0.001,"FAIL MAX TRIM",
IF(($L$5-D15)&lt;0.001,"PASS",
$L$5-D15))))))))))</f>
        <v/>
      </c>
      <c r="H15" s="1"/>
      <c r="I15" s="2"/>
      <c r="J15" s="221" t="str">
        <f t="shared" ref="J15:J28" si="21">IF(H15="","",
IF(I15="","",
IF($G$5="","",
IF(FALSE=AND(ABS(I15)&gt;=$G$5-90,ABS(I15)&lt;=$G$5+90),"FAIL Phase",
IF(H15&lt;$AJ$2,"FAIL Output",
IF(TRUE=AND(H15&gt;=$AJ$2,H15&lt;=$AJ$3),"PASS",
IF((H15-$AJ$4)*$L$4&lt;0.001,"PASS",
IF($L$5&gt;((H15-$AJ$4)*$L$4+G15+D15),ROUND((H15-$AJ$4)*$L$4,3),
IF($L$5-G15-D15&lt;0.001,"FAIL MAX TRIM",
$L$5-G15-D15)))))))))</f>
        <v/>
      </c>
      <c r="K15" s="1"/>
      <c r="L15" s="274"/>
      <c r="M15" s="1" t="str">
        <f t="shared" si="1"/>
        <v/>
      </c>
      <c r="N15" s="2" t="str">
        <f t="shared" si="1"/>
        <v/>
      </c>
      <c r="O15" s="2" t="str">
        <f t="shared" ref="O15:O28" si="22">IF(O$10="Not Tested","Not Tested","")</f>
        <v/>
      </c>
      <c r="P15" s="2" t="str">
        <f t="shared" ref="P15:P28" si="23">IF(P$9="Not Tested","Not Tested","")</f>
        <v/>
      </c>
      <c r="Q15" s="222" t="str">
        <f t="shared" si="2"/>
        <v/>
      </c>
      <c r="R15" s="83" t="str">
        <f t="shared" si="3"/>
        <v/>
      </c>
      <c r="S15" s="250" t="str">
        <f t="shared" si="4"/>
        <v/>
      </c>
      <c r="T15" s="253" t="str">
        <f t="shared" si="5"/>
        <v/>
      </c>
      <c r="V15" s="23"/>
      <c r="W15" s="23"/>
      <c r="X15" s="23"/>
      <c r="Y15" s="23"/>
      <c r="Z15" s="23"/>
      <c r="AA15" s="267"/>
      <c r="AB15" s="268"/>
      <c r="AC15" s="46" t="str">
        <f t="shared" ref="AC15:AC28" si="24">IF(AF15="FAIL","305 Insulation Resistance Low",
IF(AI15="FAIL","101 Sensitivity Low",
IF(AJ15="FAIL","100 Sensitivity High",
IF(AK15="FAIL","107 Resonant Frequency",
IF(AL15="FAIL","111 Non Linear",
IF(AM15="FAIL","110 Acceleration Sensitivity",
""))))))</f>
        <v/>
      </c>
      <c r="AD15" s="46" t="b">
        <f t="shared" ref="AD15:AD28" si="25">OR($L$12="",K15="", M15="",N15="",O15="", P15="",Q15="",R15="")</f>
        <v>1</v>
      </c>
      <c r="AE15" s="46" t="b">
        <f>AE14</f>
        <v>1</v>
      </c>
      <c r="AF15" s="46" t="str">
        <f t="shared" si="6"/>
        <v/>
      </c>
      <c r="AG15" s="220" t="str">
        <f t="shared" si="7"/>
        <v/>
      </c>
      <c r="AH15" s="46" t="str">
        <f t="shared" si="8"/>
        <v/>
      </c>
      <c r="AI15" s="219" t="str">
        <f t="shared" si="9"/>
        <v/>
      </c>
      <c r="AJ15" s="46" t="str">
        <f t="shared" si="10"/>
        <v/>
      </c>
      <c r="AK15" s="46" t="str">
        <f t="shared" si="11"/>
        <v/>
      </c>
      <c r="AL15" s="46" t="str">
        <f t="shared" si="12"/>
        <v/>
      </c>
      <c r="AM15" s="46" t="str">
        <f t="shared" ref="AM15:AM28" si="26">IF(R15="","",
IF(TRUE=AND($L$12&lt;&gt;"",N15&lt;&gt;"",O15&lt;&gt;"",K15&lt;&gt;""),
IF(TRUE=$R$9&lt;&gt;"-",IF(R15&lt;=$R$9,$AD$9,
IF(TRUE=$R$10&lt;&gt;"-",IF(R15&lt;=$R$10,$AD$10,
IF(TRUE=$R$11&lt;&gt;"-",IF(R15&lt;=$R$11,$AD$11,
IF(TRUE=$R$12&lt;&gt;"-",IF(R15&lt;=$R$12,$AD$12,
"FAIL"))))))))))</f>
        <v/>
      </c>
      <c r="AN15" s="46" t="b">
        <f t="shared" si="13"/>
        <v>0</v>
      </c>
      <c r="AO15" s="46">
        <f t="shared" si="14"/>
        <v>0</v>
      </c>
      <c r="AP15" s="48"/>
      <c r="AQ15" s="46" t="str">
        <f t="shared" si="15"/>
        <v/>
      </c>
      <c r="AR15" s="46" t="str">
        <f t="shared" si="16"/>
        <v/>
      </c>
      <c r="AS15" s="46" t="str">
        <f t="shared" si="17"/>
        <v/>
      </c>
      <c r="AT15" s="71" t="str">
        <f t="shared" si="18"/>
        <v/>
      </c>
      <c r="AU15" s="48"/>
      <c r="AV15" s="48"/>
      <c r="AW15" s="48"/>
      <c r="AX15" s="48"/>
      <c r="AY15" s="48"/>
      <c r="AZ15" s="263"/>
    </row>
    <row r="16" spans="1:52" ht="35.1" customHeight="1" x14ac:dyDescent="0.2">
      <c r="A16" s="26"/>
      <c r="B16" s="1"/>
      <c r="C16" s="2"/>
      <c r="D16" s="70" t="str">
        <f t="shared" si="19"/>
        <v/>
      </c>
      <c r="E16" s="1"/>
      <c r="F16" s="2"/>
      <c r="G16" s="221" t="str">
        <f t="shared" si="20"/>
        <v/>
      </c>
      <c r="H16" s="1"/>
      <c r="I16" s="2"/>
      <c r="J16" s="221" t="str">
        <f t="shared" si="21"/>
        <v/>
      </c>
      <c r="K16" s="1"/>
      <c r="L16" s="274"/>
      <c r="M16" s="1" t="str">
        <f t="shared" si="1"/>
        <v/>
      </c>
      <c r="N16" s="2" t="str">
        <f t="shared" si="1"/>
        <v/>
      </c>
      <c r="O16" s="2" t="str">
        <f t="shared" si="22"/>
        <v/>
      </c>
      <c r="P16" s="2" t="str">
        <f t="shared" si="23"/>
        <v/>
      </c>
      <c r="Q16" s="222" t="str">
        <f t="shared" si="2"/>
        <v/>
      </c>
      <c r="R16" s="83" t="str">
        <f t="shared" si="3"/>
        <v/>
      </c>
      <c r="S16" s="250" t="str">
        <f t="shared" si="4"/>
        <v/>
      </c>
      <c r="T16" s="253" t="str">
        <f t="shared" si="5"/>
        <v/>
      </c>
      <c r="V16" s="23"/>
      <c r="W16" s="23"/>
      <c r="X16" s="23"/>
      <c r="Y16" s="23"/>
      <c r="Z16" s="23"/>
      <c r="AA16" s="267"/>
      <c r="AB16" s="268"/>
      <c r="AC16" s="46" t="str">
        <f t="shared" si="24"/>
        <v/>
      </c>
      <c r="AD16" s="46" t="b">
        <f t="shared" si="25"/>
        <v>1</v>
      </c>
      <c r="AE16" s="46" t="b">
        <f t="shared" ref="AE16:AE28" si="27">AE15</f>
        <v>1</v>
      </c>
      <c r="AF16" s="46" t="str">
        <f t="shared" si="6"/>
        <v/>
      </c>
      <c r="AG16" s="220" t="str">
        <f t="shared" si="7"/>
        <v/>
      </c>
      <c r="AH16" s="46" t="str">
        <f t="shared" si="8"/>
        <v/>
      </c>
      <c r="AI16" s="219" t="str">
        <f t="shared" si="9"/>
        <v/>
      </c>
      <c r="AJ16" s="46" t="str">
        <f t="shared" si="10"/>
        <v/>
      </c>
      <c r="AK16" s="46" t="str">
        <f t="shared" si="11"/>
        <v/>
      </c>
      <c r="AL16" s="46" t="str">
        <f t="shared" si="12"/>
        <v/>
      </c>
      <c r="AM16" s="46" t="str">
        <f t="shared" si="26"/>
        <v/>
      </c>
      <c r="AN16" s="46" t="b">
        <f t="shared" si="13"/>
        <v>0</v>
      </c>
      <c r="AO16" s="46">
        <f t="shared" si="14"/>
        <v>0</v>
      </c>
      <c r="AP16" s="48"/>
      <c r="AQ16" s="46" t="str">
        <f t="shared" si="15"/>
        <v/>
      </c>
      <c r="AR16" s="46" t="str">
        <f t="shared" si="16"/>
        <v/>
      </c>
      <c r="AS16" s="46" t="str">
        <f t="shared" si="17"/>
        <v/>
      </c>
      <c r="AT16" s="71" t="str">
        <f t="shared" si="18"/>
        <v/>
      </c>
      <c r="AU16" s="48"/>
      <c r="AV16" s="48"/>
      <c r="AW16" s="48"/>
      <c r="AX16" s="48"/>
      <c r="AY16" s="48"/>
      <c r="AZ16" s="263"/>
    </row>
    <row r="17" spans="1:52" ht="35.1" customHeight="1" x14ac:dyDescent="0.2">
      <c r="A17" s="26"/>
      <c r="B17" s="1"/>
      <c r="C17" s="2"/>
      <c r="D17" s="70" t="str">
        <f t="shared" si="19"/>
        <v/>
      </c>
      <c r="E17" s="1"/>
      <c r="F17" s="2"/>
      <c r="G17" s="221" t="str">
        <f t="shared" si="20"/>
        <v/>
      </c>
      <c r="H17" s="1"/>
      <c r="I17" s="2"/>
      <c r="J17" s="221" t="str">
        <f t="shared" si="21"/>
        <v/>
      </c>
      <c r="K17" s="1"/>
      <c r="L17" s="274"/>
      <c r="M17" s="1" t="str">
        <f t="shared" si="1"/>
        <v/>
      </c>
      <c r="N17" s="2" t="str">
        <f t="shared" si="1"/>
        <v/>
      </c>
      <c r="O17" s="2" t="str">
        <f t="shared" si="22"/>
        <v/>
      </c>
      <c r="P17" s="2" t="str">
        <f t="shared" si="23"/>
        <v/>
      </c>
      <c r="Q17" s="222" t="str">
        <f t="shared" si="2"/>
        <v/>
      </c>
      <c r="R17" s="83" t="str">
        <f t="shared" si="3"/>
        <v/>
      </c>
      <c r="S17" s="250" t="str">
        <f t="shared" si="4"/>
        <v/>
      </c>
      <c r="T17" s="253" t="str">
        <f t="shared" si="5"/>
        <v/>
      </c>
      <c r="V17" s="63"/>
      <c r="W17" s="63"/>
      <c r="X17" s="63"/>
      <c r="Y17" s="63"/>
      <c r="Z17" s="63"/>
      <c r="AA17" s="269"/>
      <c r="AB17" s="63"/>
      <c r="AC17" s="46" t="str">
        <f t="shared" si="24"/>
        <v/>
      </c>
      <c r="AD17" s="46" t="b">
        <f t="shared" si="25"/>
        <v>1</v>
      </c>
      <c r="AE17" s="46" t="b">
        <f t="shared" si="27"/>
        <v>1</v>
      </c>
      <c r="AF17" s="46" t="str">
        <f t="shared" si="6"/>
        <v/>
      </c>
      <c r="AG17" s="220" t="str">
        <f t="shared" si="7"/>
        <v/>
      </c>
      <c r="AH17" s="46" t="str">
        <f t="shared" si="8"/>
        <v/>
      </c>
      <c r="AI17" s="219" t="str">
        <f t="shared" si="9"/>
        <v/>
      </c>
      <c r="AJ17" s="46" t="str">
        <f t="shared" si="10"/>
        <v/>
      </c>
      <c r="AK17" s="46" t="str">
        <f t="shared" si="11"/>
        <v/>
      </c>
      <c r="AL17" s="46" t="str">
        <f t="shared" si="12"/>
        <v/>
      </c>
      <c r="AM17" s="46" t="str">
        <f t="shared" si="26"/>
        <v/>
      </c>
      <c r="AN17" s="46" t="b">
        <f t="shared" si="13"/>
        <v>0</v>
      </c>
      <c r="AO17" s="46">
        <f t="shared" si="14"/>
        <v>0</v>
      </c>
      <c r="AP17" s="48"/>
      <c r="AQ17" s="46" t="str">
        <f t="shared" si="15"/>
        <v/>
      </c>
      <c r="AR17" s="46" t="str">
        <f t="shared" si="16"/>
        <v/>
      </c>
      <c r="AS17" s="46" t="str">
        <f t="shared" si="17"/>
        <v/>
      </c>
      <c r="AT17" s="71" t="str">
        <f t="shared" si="18"/>
        <v/>
      </c>
      <c r="AU17" s="48"/>
      <c r="AV17" s="48"/>
      <c r="AW17" s="48"/>
      <c r="AX17" s="48"/>
      <c r="AY17" s="48"/>
      <c r="AZ17" s="263"/>
    </row>
    <row r="18" spans="1:52" ht="35.1" customHeight="1" x14ac:dyDescent="0.2">
      <c r="A18" s="26"/>
      <c r="B18" s="1"/>
      <c r="C18" s="2"/>
      <c r="D18" s="70" t="str">
        <f t="shared" si="19"/>
        <v/>
      </c>
      <c r="E18" s="1"/>
      <c r="F18" s="2"/>
      <c r="G18" s="221" t="str">
        <f t="shared" si="20"/>
        <v/>
      </c>
      <c r="H18" s="1"/>
      <c r="I18" s="2"/>
      <c r="J18" s="221" t="str">
        <f t="shared" si="21"/>
        <v/>
      </c>
      <c r="K18" s="1"/>
      <c r="L18" s="274"/>
      <c r="M18" s="1" t="str">
        <f t="shared" si="1"/>
        <v/>
      </c>
      <c r="N18" s="2" t="str">
        <f t="shared" si="1"/>
        <v/>
      </c>
      <c r="O18" s="2" t="str">
        <f t="shared" si="22"/>
        <v/>
      </c>
      <c r="P18" s="2" t="str">
        <f t="shared" si="23"/>
        <v/>
      </c>
      <c r="Q18" s="222" t="str">
        <f t="shared" si="2"/>
        <v/>
      </c>
      <c r="R18" s="83" t="str">
        <f t="shared" si="3"/>
        <v/>
      </c>
      <c r="S18" s="250" t="str">
        <f t="shared" si="4"/>
        <v/>
      </c>
      <c r="T18" s="253" t="str">
        <f t="shared" si="5"/>
        <v/>
      </c>
      <c r="V18" s="63"/>
      <c r="W18" s="63"/>
      <c r="X18" s="63"/>
      <c r="Y18" s="63"/>
      <c r="Z18" s="63"/>
      <c r="AA18" s="269"/>
      <c r="AB18" s="63"/>
      <c r="AC18" s="46" t="str">
        <f t="shared" si="24"/>
        <v/>
      </c>
      <c r="AD18" s="46" t="b">
        <f t="shared" si="25"/>
        <v>1</v>
      </c>
      <c r="AE18" s="46" t="b">
        <f t="shared" si="27"/>
        <v>1</v>
      </c>
      <c r="AF18" s="46" t="str">
        <f t="shared" si="6"/>
        <v/>
      </c>
      <c r="AG18" s="220" t="str">
        <f t="shared" si="7"/>
        <v/>
      </c>
      <c r="AH18" s="46" t="str">
        <f t="shared" si="8"/>
        <v/>
      </c>
      <c r="AI18" s="219" t="str">
        <f t="shared" si="9"/>
        <v/>
      </c>
      <c r="AJ18" s="46" t="str">
        <f t="shared" si="10"/>
        <v/>
      </c>
      <c r="AK18" s="46" t="str">
        <f t="shared" si="11"/>
        <v/>
      </c>
      <c r="AL18" s="46" t="str">
        <f t="shared" si="12"/>
        <v/>
      </c>
      <c r="AM18" s="46" t="str">
        <f t="shared" si="26"/>
        <v/>
      </c>
      <c r="AN18" s="46" t="b">
        <f t="shared" si="13"/>
        <v>0</v>
      </c>
      <c r="AO18" s="46">
        <f t="shared" si="14"/>
        <v>0</v>
      </c>
      <c r="AP18" s="48"/>
      <c r="AQ18" s="46" t="str">
        <f t="shared" si="15"/>
        <v/>
      </c>
      <c r="AR18" s="46" t="str">
        <f t="shared" si="16"/>
        <v/>
      </c>
      <c r="AS18" s="46" t="str">
        <f t="shared" si="17"/>
        <v/>
      </c>
      <c r="AT18" s="71" t="str">
        <f t="shared" si="18"/>
        <v/>
      </c>
      <c r="AU18" s="48"/>
      <c r="AV18" s="48"/>
      <c r="AW18" s="48"/>
      <c r="AX18" s="48"/>
      <c r="AY18" s="48"/>
      <c r="AZ18" s="263"/>
    </row>
    <row r="19" spans="1:52" ht="35.1" customHeight="1" x14ac:dyDescent="0.2">
      <c r="A19" s="26"/>
      <c r="B19" s="1"/>
      <c r="C19" s="2"/>
      <c r="D19" s="70" t="str">
        <f t="shared" ref="D19:D28" si="28">IF(B19="","",
IF(C19="","",
IF($G$5="","",
IF(FALSE=AND(ABS(C19)&gt;=$G$5-90,ABS(C19)&lt;=$G$5+90),"FAIL Phase",
IF(B19&lt;$AF$2,"FAIL Output",
IF(TRUE=AND(B19&gt;=$AF$2,B19&lt;=$AF$3),"PASS",
IF((B19-$AF$4)*$L$4&lt;0.001,"PASS",
IF($L$5&gt;(B19-$AF$4)*$L$4,ROUND((B19-$AF$4)*$L$4,3),$L$5))))))))</f>
        <v/>
      </c>
      <c r="E19" s="1"/>
      <c r="F19" s="2"/>
      <c r="G19" s="221" t="str">
        <f t="shared" si="20"/>
        <v/>
      </c>
      <c r="H19" s="1"/>
      <c r="I19" s="2"/>
      <c r="J19" s="221" t="str">
        <f t="shared" si="21"/>
        <v/>
      </c>
      <c r="K19" s="1"/>
      <c r="L19" s="274"/>
      <c r="M19" s="1" t="str">
        <f t="shared" si="1"/>
        <v/>
      </c>
      <c r="N19" s="2" t="str">
        <f t="shared" si="1"/>
        <v/>
      </c>
      <c r="O19" s="2" t="str">
        <f t="shared" si="22"/>
        <v/>
      </c>
      <c r="P19" s="2" t="str">
        <f t="shared" si="23"/>
        <v/>
      </c>
      <c r="Q19" s="222" t="str">
        <f t="shared" si="2"/>
        <v/>
      </c>
      <c r="R19" s="83" t="str">
        <f t="shared" si="3"/>
        <v/>
      </c>
      <c r="S19" s="250" t="str">
        <f t="shared" si="4"/>
        <v/>
      </c>
      <c r="T19" s="253" t="str">
        <f t="shared" si="5"/>
        <v/>
      </c>
      <c r="V19" s="63"/>
      <c r="W19" s="63"/>
      <c r="X19" s="63"/>
      <c r="Y19" s="63"/>
      <c r="Z19" s="63"/>
      <c r="AA19" s="269"/>
      <c r="AB19" s="63"/>
      <c r="AC19" s="46" t="str">
        <f t="shared" si="24"/>
        <v/>
      </c>
      <c r="AD19" s="46" t="b">
        <f t="shared" si="25"/>
        <v>1</v>
      </c>
      <c r="AE19" s="46" t="b">
        <f t="shared" si="27"/>
        <v>1</v>
      </c>
      <c r="AF19" s="46" t="str">
        <f t="shared" si="6"/>
        <v/>
      </c>
      <c r="AG19" s="220" t="str">
        <f t="shared" si="7"/>
        <v/>
      </c>
      <c r="AH19" s="46" t="str">
        <f t="shared" si="8"/>
        <v/>
      </c>
      <c r="AI19" s="219" t="str">
        <f t="shared" si="9"/>
        <v/>
      </c>
      <c r="AJ19" s="46" t="str">
        <f t="shared" si="10"/>
        <v/>
      </c>
      <c r="AK19" s="46" t="str">
        <f t="shared" si="11"/>
        <v/>
      </c>
      <c r="AL19" s="46" t="str">
        <f t="shared" si="12"/>
        <v/>
      </c>
      <c r="AM19" s="46" t="str">
        <f t="shared" si="26"/>
        <v/>
      </c>
      <c r="AN19" s="46" t="b">
        <f t="shared" si="13"/>
        <v>0</v>
      </c>
      <c r="AO19" s="46">
        <f t="shared" si="14"/>
        <v>0</v>
      </c>
      <c r="AP19" s="48"/>
      <c r="AQ19" s="46" t="str">
        <f t="shared" si="15"/>
        <v/>
      </c>
      <c r="AR19" s="46" t="str">
        <f t="shared" si="16"/>
        <v/>
      </c>
      <c r="AS19" s="46" t="str">
        <f t="shared" si="17"/>
        <v/>
      </c>
      <c r="AT19" s="71" t="str">
        <f t="shared" si="18"/>
        <v/>
      </c>
      <c r="AU19" s="48"/>
      <c r="AV19" s="48"/>
      <c r="AW19" s="48"/>
      <c r="AX19" s="48"/>
      <c r="AY19" s="48"/>
      <c r="AZ19" s="263"/>
    </row>
    <row r="20" spans="1:52" ht="35.1" customHeight="1" x14ac:dyDescent="0.2">
      <c r="A20" s="26"/>
      <c r="B20" s="1"/>
      <c r="C20" s="2"/>
      <c r="D20" s="70" t="str">
        <f t="shared" si="28"/>
        <v/>
      </c>
      <c r="E20" s="1"/>
      <c r="F20" s="2"/>
      <c r="G20" s="221" t="str">
        <f t="shared" si="20"/>
        <v/>
      </c>
      <c r="H20" s="1"/>
      <c r="I20" s="2"/>
      <c r="J20" s="221" t="str">
        <f t="shared" si="21"/>
        <v/>
      </c>
      <c r="K20" s="1"/>
      <c r="L20" s="274"/>
      <c r="M20" s="1" t="str">
        <f t="shared" si="1"/>
        <v/>
      </c>
      <c r="N20" s="2" t="str">
        <f t="shared" si="1"/>
        <v/>
      </c>
      <c r="O20" s="2" t="str">
        <f t="shared" si="22"/>
        <v/>
      </c>
      <c r="P20" s="2" t="str">
        <f t="shared" si="23"/>
        <v/>
      </c>
      <c r="Q20" s="222" t="str">
        <f t="shared" si="2"/>
        <v/>
      </c>
      <c r="R20" s="83" t="str">
        <f t="shared" si="3"/>
        <v/>
      </c>
      <c r="S20" s="250" t="str">
        <f t="shared" si="4"/>
        <v/>
      </c>
      <c r="T20" s="253" t="str">
        <f t="shared" si="5"/>
        <v/>
      </c>
      <c r="V20" s="63"/>
      <c r="W20" s="63"/>
      <c r="X20" s="63"/>
      <c r="Y20" s="63"/>
      <c r="Z20" s="63"/>
      <c r="AA20" s="269"/>
      <c r="AB20" s="63"/>
      <c r="AC20" s="46" t="str">
        <f t="shared" si="24"/>
        <v/>
      </c>
      <c r="AD20" s="46" t="b">
        <f t="shared" si="25"/>
        <v>1</v>
      </c>
      <c r="AE20" s="46" t="b">
        <f t="shared" si="27"/>
        <v>1</v>
      </c>
      <c r="AF20" s="46" t="str">
        <f t="shared" si="6"/>
        <v/>
      </c>
      <c r="AG20" s="220" t="str">
        <f t="shared" si="7"/>
        <v/>
      </c>
      <c r="AH20" s="46" t="str">
        <f t="shared" si="8"/>
        <v/>
      </c>
      <c r="AI20" s="219" t="str">
        <f t="shared" si="9"/>
        <v/>
      </c>
      <c r="AJ20" s="46" t="str">
        <f t="shared" si="10"/>
        <v/>
      </c>
      <c r="AK20" s="46" t="str">
        <f t="shared" si="11"/>
        <v/>
      </c>
      <c r="AL20" s="46" t="str">
        <f t="shared" si="12"/>
        <v/>
      </c>
      <c r="AM20" s="46" t="str">
        <f t="shared" si="26"/>
        <v/>
      </c>
      <c r="AN20" s="46" t="b">
        <f t="shared" si="13"/>
        <v>0</v>
      </c>
      <c r="AO20" s="46">
        <f t="shared" si="14"/>
        <v>0</v>
      </c>
      <c r="AP20" s="48"/>
      <c r="AQ20" s="46" t="str">
        <f t="shared" si="15"/>
        <v/>
      </c>
      <c r="AR20" s="46" t="str">
        <f t="shared" si="16"/>
        <v/>
      </c>
      <c r="AS20" s="46" t="str">
        <f t="shared" si="17"/>
        <v/>
      </c>
      <c r="AT20" s="71" t="str">
        <f t="shared" si="18"/>
        <v/>
      </c>
      <c r="AU20" s="48"/>
      <c r="AV20" s="48"/>
      <c r="AW20" s="48"/>
      <c r="AX20" s="48"/>
      <c r="AY20" s="48"/>
      <c r="AZ20" s="263"/>
    </row>
    <row r="21" spans="1:52" ht="35.1" customHeight="1" x14ac:dyDescent="0.2">
      <c r="A21" s="26"/>
      <c r="B21" s="1"/>
      <c r="C21" s="2"/>
      <c r="D21" s="70" t="str">
        <f t="shared" si="28"/>
        <v/>
      </c>
      <c r="E21" s="1"/>
      <c r="F21" s="2"/>
      <c r="G21" s="221" t="str">
        <f t="shared" si="20"/>
        <v/>
      </c>
      <c r="H21" s="1"/>
      <c r="I21" s="2"/>
      <c r="J21" s="221" t="str">
        <f t="shared" si="21"/>
        <v/>
      </c>
      <c r="K21" s="1"/>
      <c r="L21" s="274"/>
      <c r="M21" s="1" t="str">
        <f t="shared" si="1"/>
        <v/>
      </c>
      <c r="N21" s="2" t="str">
        <f t="shared" si="1"/>
        <v/>
      </c>
      <c r="O21" s="2" t="str">
        <f t="shared" si="22"/>
        <v/>
      </c>
      <c r="P21" s="2" t="str">
        <f t="shared" si="23"/>
        <v/>
      </c>
      <c r="Q21" s="222" t="str">
        <f t="shared" si="2"/>
        <v/>
      </c>
      <c r="R21" s="83" t="str">
        <f t="shared" si="3"/>
        <v/>
      </c>
      <c r="S21" s="250" t="str">
        <f t="shared" si="4"/>
        <v/>
      </c>
      <c r="T21" s="253" t="str">
        <f t="shared" si="5"/>
        <v/>
      </c>
      <c r="V21" s="63"/>
      <c r="W21" s="63"/>
      <c r="X21" s="63"/>
      <c r="Y21" s="63"/>
      <c r="Z21" s="63"/>
      <c r="AA21" s="269"/>
      <c r="AB21" s="63"/>
      <c r="AC21" s="46" t="str">
        <f t="shared" si="24"/>
        <v/>
      </c>
      <c r="AD21" s="46" t="b">
        <f t="shared" si="25"/>
        <v>1</v>
      </c>
      <c r="AE21" s="46" t="b">
        <f t="shared" si="27"/>
        <v>1</v>
      </c>
      <c r="AF21" s="46" t="str">
        <f t="shared" si="6"/>
        <v/>
      </c>
      <c r="AG21" s="220" t="str">
        <f t="shared" si="7"/>
        <v/>
      </c>
      <c r="AH21" s="46" t="str">
        <f t="shared" si="8"/>
        <v/>
      </c>
      <c r="AI21" s="219" t="str">
        <f t="shared" si="9"/>
        <v/>
      </c>
      <c r="AJ21" s="46" t="str">
        <f t="shared" si="10"/>
        <v/>
      </c>
      <c r="AK21" s="46" t="str">
        <f t="shared" si="11"/>
        <v/>
      </c>
      <c r="AL21" s="46" t="str">
        <f t="shared" si="12"/>
        <v/>
      </c>
      <c r="AM21" s="46" t="str">
        <f t="shared" si="26"/>
        <v/>
      </c>
      <c r="AN21" s="46" t="b">
        <f t="shared" si="13"/>
        <v>0</v>
      </c>
      <c r="AO21" s="46">
        <f t="shared" si="14"/>
        <v>0</v>
      </c>
      <c r="AP21" s="48"/>
      <c r="AQ21" s="46" t="str">
        <f t="shared" si="15"/>
        <v/>
      </c>
      <c r="AR21" s="46" t="str">
        <f t="shared" si="16"/>
        <v/>
      </c>
      <c r="AS21" s="46" t="str">
        <f t="shared" si="17"/>
        <v/>
      </c>
      <c r="AT21" s="71" t="str">
        <f t="shared" si="18"/>
        <v/>
      </c>
      <c r="AU21" s="48"/>
      <c r="AV21" s="48"/>
      <c r="AW21" s="48"/>
      <c r="AX21" s="48"/>
      <c r="AY21" s="48"/>
      <c r="AZ21" s="263"/>
    </row>
    <row r="22" spans="1:52" ht="35.1" customHeight="1" x14ac:dyDescent="0.2">
      <c r="A22" s="26"/>
      <c r="B22" s="1"/>
      <c r="C22" s="2"/>
      <c r="D22" s="70" t="str">
        <f t="shared" si="28"/>
        <v/>
      </c>
      <c r="E22" s="1"/>
      <c r="F22" s="2"/>
      <c r="G22" s="221" t="str">
        <f t="shared" si="20"/>
        <v/>
      </c>
      <c r="H22" s="1"/>
      <c r="I22" s="2"/>
      <c r="J22" s="221" t="str">
        <f t="shared" si="21"/>
        <v/>
      </c>
      <c r="K22" s="1"/>
      <c r="L22" s="274"/>
      <c r="M22" s="1" t="str">
        <f t="shared" si="1"/>
        <v/>
      </c>
      <c r="N22" s="2" t="str">
        <f t="shared" si="1"/>
        <v/>
      </c>
      <c r="O22" s="2" t="str">
        <f t="shared" si="22"/>
        <v/>
      </c>
      <c r="P22" s="2" t="str">
        <f t="shared" si="23"/>
        <v/>
      </c>
      <c r="Q22" s="222" t="str">
        <f t="shared" si="2"/>
        <v/>
      </c>
      <c r="R22" s="83" t="str">
        <f t="shared" si="3"/>
        <v/>
      </c>
      <c r="S22" s="250" t="str">
        <f t="shared" si="4"/>
        <v/>
      </c>
      <c r="T22" s="253" t="str">
        <f t="shared" si="5"/>
        <v/>
      </c>
      <c r="V22" s="63"/>
      <c r="W22" s="63"/>
      <c r="X22" s="63"/>
      <c r="Y22" s="63"/>
      <c r="Z22" s="63"/>
      <c r="AA22" s="269"/>
      <c r="AB22" s="63"/>
      <c r="AC22" s="46" t="str">
        <f t="shared" si="24"/>
        <v/>
      </c>
      <c r="AD22" s="46" t="b">
        <f t="shared" si="25"/>
        <v>1</v>
      </c>
      <c r="AE22" s="46" t="b">
        <f t="shared" si="27"/>
        <v>1</v>
      </c>
      <c r="AF22" s="46" t="str">
        <f t="shared" si="6"/>
        <v/>
      </c>
      <c r="AG22" s="220" t="str">
        <f t="shared" si="7"/>
        <v/>
      </c>
      <c r="AH22" s="46" t="str">
        <f t="shared" si="8"/>
        <v/>
      </c>
      <c r="AI22" s="219" t="str">
        <f t="shared" si="9"/>
        <v/>
      </c>
      <c r="AJ22" s="46" t="str">
        <f t="shared" si="10"/>
        <v/>
      </c>
      <c r="AK22" s="46" t="str">
        <f t="shared" si="11"/>
        <v/>
      </c>
      <c r="AL22" s="46" t="str">
        <f t="shared" si="12"/>
        <v/>
      </c>
      <c r="AM22" s="46" t="str">
        <f t="shared" si="26"/>
        <v/>
      </c>
      <c r="AN22" s="46" t="b">
        <f t="shared" si="13"/>
        <v>0</v>
      </c>
      <c r="AO22" s="46">
        <f t="shared" si="14"/>
        <v>0</v>
      </c>
      <c r="AP22" s="48"/>
      <c r="AQ22" s="46" t="str">
        <f t="shared" si="15"/>
        <v/>
      </c>
      <c r="AR22" s="46" t="str">
        <f t="shared" si="16"/>
        <v/>
      </c>
      <c r="AS22" s="46" t="str">
        <f t="shared" si="17"/>
        <v/>
      </c>
      <c r="AT22" s="71" t="str">
        <f t="shared" si="18"/>
        <v/>
      </c>
      <c r="AU22" s="48"/>
      <c r="AV22" s="48"/>
      <c r="AW22" s="48"/>
      <c r="AX22" s="48"/>
      <c r="AY22" s="48"/>
      <c r="AZ22" s="263"/>
    </row>
    <row r="23" spans="1:52" ht="35.1" customHeight="1" x14ac:dyDescent="0.2">
      <c r="A23" s="26"/>
      <c r="B23" s="1"/>
      <c r="C23" s="2"/>
      <c r="D23" s="70" t="str">
        <f t="shared" si="28"/>
        <v/>
      </c>
      <c r="E23" s="1"/>
      <c r="F23" s="2"/>
      <c r="G23" s="221" t="str">
        <f t="shared" si="20"/>
        <v/>
      </c>
      <c r="H23" s="1"/>
      <c r="I23" s="2"/>
      <c r="J23" s="221" t="str">
        <f t="shared" si="21"/>
        <v/>
      </c>
      <c r="K23" s="1"/>
      <c r="L23" s="274"/>
      <c r="M23" s="1" t="str">
        <f t="shared" si="1"/>
        <v/>
      </c>
      <c r="N23" s="2" t="str">
        <f t="shared" si="1"/>
        <v/>
      </c>
      <c r="O23" s="2" t="str">
        <f t="shared" si="22"/>
        <v/>
      </c>
      <c r="P23" s="2" t="str">
        <f t="shared" si="23"/>
        <v/>
      </c>
      <c r="Q23" s="222" t="str">
        <f t="shared" si="2"/>
        <v/>
      </c>
      <c r="R23" s="83" t="str">
        <f t="shared" si="3"/>
        <v/>
      </c>
      <c r="S23" s="250" t="str">
        <f t="shared" si="4"/>
        <v/>
      </c>
      <c r="T23" s="253" t="str">
        <f t="shared" si="5"/>
        <v/>
      </c>
      <c r="V23" s="63"/>
      <c r="W23" s="63"/>
      <c r="X23" s="63"/>
      <c r="Y23" s="63"/>
      <c r="Z23" s="63"/>
      <c r="AA23" s="269"/>
      <c r="AB23" s="63"/>
      <c r="AC23" s="46" t="str">
        <f t="shared" si="24"/>
        <v/>
      </c>
      <c r="AD23" s="46" t="b">
        <f t="shared" si="25"/>
        <v>1</v>
      </c>
      <c r="AE23" s="46" t="b">
        <f t="shared" si="27"/>
        <v>1</v>
      </c>
      <c r="AF23" s="46" t="str">
        <f t="shared" si="6"/>
        <v/>
      </c>
      <c r="AG23" s="220" t="str">
        <f t="shared" si="7"/>
        <v/>
      </c>
      <c r="AH23" s="46" t="str">
        <f t="shared" si="8"/>
        <v/>
      </c>
      <c r="AI23" s="219" t="str">
        <f t="shared" si="9"/>
        <v/>
      </c>
      <c r="AJ23" s="46" t="str">
        <f t="shared" si="10"/>
        <v/>
      </c>
      <c r="AK23" s="46" t="str">
        <f t="shared" si="11"/>
        <v/>
      </c>
      <c r="AL23" s="46" t="str">
        <f t="shared" si="12"/>
        <v/>
      </c>
      <c r="AM23" s="46" t="str">
        <f t="shared" si="26"/>
        <v/>
      </c>
      <c r="AN23" s="46" t="b">
        <f t="shared" si="13"/>
        <v>0</v>
      </c>
      <c r="AO23" s="46">
        <f t="shared" si="14"/>
        <v>0</v>
      </c>
      <c r="AP23" s="48"/>
      <c r="AQ23" s="46" t="str">
        <f t="shared" si="15"/>
        <v/>
      </c>
      <c r="AR23" s="46" t="str">
        <f t="shared" si="16"/>
        <v/>
      </c>
      <c r="AS23" s="46" t="str">
        <f t="shared" si="17"/>
        <v/>
      </c>
      <c r="AT23" s="71" t="str">
        <f t="shared" si="18"/>
        <v/>
      </c>
      <c r="AU23" s="48"/>
      <c r="AV23" s="48"/>
      <c r="AW23" s="48"/>
      <c r="AX23" s="48"/>
      <c r="AY23" s="48"/>
      <c r="AZ23" s="263"/>
    </row>
    <row r="24" spans="1:52" ht="35.1" customHeight="1" x14ac:dyDescent="0.2">
      <c r="A24" s="26"/>
      <c r="B24" s="1"/>
      <c r="C24" s="2"/>
      <c r="D24" s="70" t="str">
        <f t="shared" si="28"/>
        <v/>
      </c>
      <c r="E24" s="1"/>
      <c r="F24" s="2"/>
      <c r="G24" s="221" t="str">
        <f t="shared" si="20"/>
        <v/>
      </c>
      <c r="H24" s="1"/>
      <c r="I24" s="2"/>
      <c r="J24" s="221" t="str">
        <f t="shared" si="21"/>
        <v/>
      </c>
      <c r="K24" s="1"/>
      <c r="L24" s="274"/>
      <c r="M24" s="1" t="str">
        <f t="shared" si="1"/>
        <v/>
      </c>
      <c r="N24" s="2" t="str">
        <f t="shared" si="1"/>
        <v/>
      </c>
      <c r="O24" s="2" t="str">
        <f t="shared" si="22"/>
        <v/>
      </c>
      <c r="P24" s="2" t="str">
        <f t="shared" si="23"/>
        <v/>
      </c>
      <c r="Q24" s="222" t="str">
        <f t="shared" si="2"/>
        <v/>
      </c>
      <c r="R24" s="83" t="str">
        <f t="shared" si="3"/>
        <v/>
      </c>
      <c r="S24" s="250" t="str">
        <f t="shared" si="4"/>
        <v/>
      </c>
      <c r="T24" s="253" t="str">
        <f t="shared" si="5"/>
        <v/>
      </c>
      <c r="V24" s="63"/>
      <c r="W24" s="63"/>
      <c r="X24" s="63"/>
      <c r="Y24" s="63"/>
      <c r="Z24" s="63"/>
      <c r="AA24" s="269"/>
      <c r="AB24" s="63"/>
      <c r="AC24" s="46" t="str">
        <f t="shared" si="24"/>
        <v/>
      </c>
      <c r="AD24" s="46" t="b">
        <f t="shared" si="25"/>
        <v>1</v>
      </c>
      <c r="AE24" s="46" t="b">
        <f t="shared" si="27"/>
        <v>1</v>
      </c>
      <c r="AF24" s="46" t="str">
        <f t="shared" si="6"/>
        <v/>
      </c>
      <c r="AG24" s="220" t="str">
        <f t="shared" si="7"/>
        <v/>
      </c>
      <c r="AH24" s="46" t="str">
        <f t="shared" si="8"/>
        <v/>
      </c>
      <c r="AI24" s="219" t="str">
        <f t="shared" si="9"/>
        <v/>
      </c>
      <c r="AJ24" s="46" t="str">
        <f t="shared" si="10"/>
        <v/>
      </c>
      <c r="AK24" s="46" t="str">
        <f t="shared" si="11"/>
        <v/>
      </c>
      <c r="AL24" s="46" t="str">
        <f t="shared" si="12"/>
        <v/>
      </c>
      <c r="AM24" s="46" t="str">
        <f t="shared" si="26"/>
        <v/>
      </c>
      <c r="AN24" s="46" t="b">
        <f t="shared" si="13"/>
        <v>0</v>
      </c>
      <c r="AO24" s="46">
        <f t="shared" si="14"/>
        <v>0</v>
      </c>
      <c r="AP24" s="48"/>
      <c r="AQ24" s="46" t="str">
        <f t="shared" si="15"/>
        <v/>
      </c>
      <c r="AR24" s="46" t="str">
        <f t="shared" si="16"/>
        <v/>
      </c>
      <c r="AS24" s="46" t="str">
        <f t="shared" si="17"/>
        <v/>
      </c>
      <c r="AT24" s="71" t="str">
        <f t="shared" si="18"/>
        <v/>
      </c>
      <c r="AU24" s="48"/>
      <c r="AV24" s="48"/>
      <c r="AW24" s="48"/>
      <c r="AX24" s="48"/>
      <c r="AY24" s="48"/>
      <c r="AZ24" s="263"/>
    </row>
    <row r="25" spans="1:52" ht="35.1" customHeight="1" x14ac:dyDescent="0.2">
      <c r="A25" s="26"/>
      <c r="B25" s="1"/>
      <c r="C25" s="2"/>
      <c r="D25" s="70" t="str">
        <f t="shared" si="28"/>
        <v/>
      </c>
      <c r="E25" s="1"/>
      <c r="F25" s="2"/>
      <c r="G25" s="221" t="str">
        <f t="shared" si="20"/>
        <v/>
      </c>
      <c r="H25" s="1"/>
      <c r="I25" s="2"/>
      <c r="J25" s="221" t="str">
        <f t="shared" si="21"/>
        <v/>
      </c>
      <c r="K25" s="1"/>
      <c r="L25" s="274"/>
      <c r="M25" s="1" t="str">
        <f t="shared" si="1"/>
        <v/>
      </c>
      <c r="N25" s="2" t="str">
        <f t="shared" si="1"/>
        <v/>
      </c>
      <c r="O25" s="2" t="str">
        <f t="shared" si="22"/>
        <v/>
      </c>
      <c r="P25" s="2" t="str">
        <f t="shared" si="23"/>
        <v/>
      </c>
      <c r="Q25" s="222" t="str">
        <f t="shared" si="2"/>
        <v/>
      </c>
      <c r="R25" s="83" t="str">
        <f t="shared" si="3"/>
        <v/>
      </c>
      <c r="S25" s="250" t="str">
        <f t="shared" si="4"/>
        <v/>
      </c>
      <c r="T25" s="253" t="str">
        <f t="shared" si="5"/>
        <v/>
      </c>
      <c r="V25" s="63"/>
      <c r="W25" s="63"/>
      <c r="X25" s="63"/>
      <c r="Y25" s="63"/>
      <c r="Z25" s="63"/>
      <c r="AA25" s="269"/>
      <c r="AB25" s="63"/>
      <c r="AC25" s="46" t="str">
        <f t="shared" si="24"/>
        <v/>
      </c>
      <c r="AD25" s="46" t="b">
        <f t="shared" si="25"/>
        <v>1</v>
      </c>
      <c r="AE25" s="46" t="b">
        <f t="shared" si="27"/>
        <v>1</v>
      </c>
      <c r="AF25" s="46" t="str">
        <f t="shared" si="6"/>
        <v/>
      </c>
      <c r="AG25" s="220" t="str">
        <f t="shared" si="7"/>
        <v/>
      </c>
      <c r="AH25" s="46" t="str">
        <f t="shared" si="8"/>
        <v/>
      </c>
      <c r="AI25" s="219" t="str">
        <f t="shared" si="9"/>
        <v/>
      </c>
      <c r="AJ25" s="46" t="str">
        <f t="shared" si="10"/>
        <v/>
      </c>
      <c r="AK25" s="46" t="str">
        <f t="shared" si="11"/>
        <v/>
      </c>
      <c r="AL25" s="46" t="str">
        <f t="shared" si="12"/>
        <v/>
      </c>
      <c r="AM25" s="46" t="str">
        <f t="shared" si="26"/>
        <v/>
      </c>
      <c r="AN25" s="46" t="b">
        <f t="shared" si="13"/>
        <v>0</v>
      </c>
      <c r="AO25" s="46">
        <f t="shared" si="14"/>
        <v>0</v>
      </c>
      <c r="AP25" s="48"/>
      <c r="AQ25" s="46" t="str">
        <f t="shared" si="15"/>
        <v/>
      </c>
      <c r="AR25" s="46" t="str">
        <f t="shared" si="16"/>
        <v/>
      </c>
      <c r="AS25" s="46" t="str">
        <f t="shared" si="17"/>
        <v/>
      </c>
      <c r="AT25" s="71" t="str">
        <f t="shared" si="18"/>
        <v/>
      </c>
      <c r="AU25" s="48"/>
      <c r="AV25" s="48"/>
      <c r="AW25" s="48"/>
      <c r="AX25" s="48"/>
      <c r="AY25" s="48"/>
      <c r="AZ25" s="263"/>
    </row>
    <row r="26" spans="1:52" ht="35.1" customHeight="1" x14ac:dyDescent="0.2">
      <c r="A26" s="26"/>
      <c r="B26" s="1"/>
      <c r="C26" s="2"/>
      <c r="D26" s="70" t="str">
        <f t="shared" si="28"/>
        <v/>
      </c>
      <c r="E26" s="1"/>
      <c r="F26" s="2"/>
      <c r="G26" s="221" t="str">
        <f t="shared" si="20"/>
        <v/>
      </c>
      <c r="H26" s="1"/>
      <c r="I26" s="2"/>
      <c r="J26" s="221" t="str">
        <f t="shared" si="21"/>
        <v/>
      </c>
      <c r="K26" s="1"/>
      <c r="L26" s="274"/>
      <c r="M26" s="1" t="str">
        <f t="shared" si="1"/>
        <v/>
      </c>
      <c r="N26" s="2" t="str">
        <f t="shared" si="1"/>
        <v/>
      </c>
      <c r="O26" s="2" t="str">
        <f t="shared" si="22"/>
        <v/>
      </c>
      <c r="P26" s="2" t="str">
        <f t="shared" si="23"/>
        <v/>
      </c>
      <c r="Q26" s="222" t="str">
        <f t="shared" si="2"/>
        <v/>
      </c>
      <c r="R26" s="83" t="str">
        <f t="shared" si="3"/>
        <v/>
      </c>
      <c r="S26" s="250" t="str">
        <f t="shared" si="4"/>
        <v/>
      </c>
      <c r="T26" s="253" t="str">
        <f t="shared" si="5"/>
        <v/>
      </c>
      <c r="V26" s="63"/>
      <c r="W26" s="63"/>
      <c r="X26" s="63"/>
      <c r="Y26" s="63"/>
      <c r="Z26" s="63"/>
      <c r="AA26" s="269"/>
      <c r="AB26" s="63"/>
      <c r="AC26" s="46" t="str">
        <f t="shared" si="24"/>
        <v/>
      </c>
      <c r="AD26" s="46" t="b">
        <f t="shared" si="25"/>
        <v>1</v>
      </c>
      <c r="AE26" s="46" t="b">
        <f t="shared" si="27"/>
        <v>1</v>
      </c>
      <c r="AF26" s="46" t="str">
        <f t="shared" si="6"/>
        <v/>
      </c>
      <c r="AG26" s="220" t="str">
        <f t="shared" si="7"/>
        <v/>
      </c>
      <c r="AH26" s="46" t="str">
        <f t="shared" si="8"/>
        <v/>
      </c>
      <c r="AI26" s="219" t="str">
        <f t="shared" si="9"/>
        <v/>
      </c>
      <c r="AJ26" s="46" t="str">
        <f t="shared" si="10"/>
        <v/>
      </c>
      <c r="AK26" s="46" t="str">
        <f t="shared" si="11"/>
        <v/>
      </c>
      <c r="AL26" s="46" t="str">
        <f t="shared" si="12"/>
        <v/>
      </c>
      <c r="AM26" s="46" t="str">
        <f t="shared" si="26"/>
        <v/>
      </c>
      <c r="AN26" s="46" t="b">
        <f t="shared" si="13"/>
        <v>0</v>
      </c>
      <c r="AO26" s="46">
        <f t="shared" si="14"/>
        <v>0</v>
      </c>
      <c r="AP26" s="48"/>
      <c r="AQ26" s="46" t="str">
        <f t="shared" si="15"/>
        <v/>
      </c>
      <c r="AR26" s="46" t="str">
        <f t="shared" si="16"/>
        <v/>
      </c>
      <c r="AS26" s="46" t="str">
        <f t="shared" si="17"/>
        <v/>
      </c>
      <c r="AT26" s="71" t="str">
        <f t="shared" si="18"/>
        <v/>
      </c>
      <c r="AU26" s="48"/>
      <c r="AV26" s="48"/>
      <c r="AW26" s="48"/>
      <c r="AX26" s="48"/>
      <c r="AY26" s="48"/>
      <c r="AZ26" s="263"/>
    </row>
    <row r="27" spans="1:52" ht="35.1" customHeight="1" x14ac:dyDescent="0.2">
      <c r="A27" s="26"/>
      <c r="B27" s="1"/>
      <c r="C27" s="2"/>
      <c r="D27" s="70" t="str">
        <f t="shared" si="28"/>
        <v/>
      </c>
      <c r="E27" s="1"/>
      <c r="F27" s="2"/>
      <c r="G27" s="221" t="str">
        <f t="shared" si="20"/>
        <v/>
      </c>
      <c r="H27" s="1"/>
      <c r="I27" s="2"/>
      <c r="J27" s="221" t="str">
        <f t="shared" si="21"/>
        <v/>
      </c>
      <c r="K27" s="1"/>
      <c r="L27" s="274"/>
      <c r="M27" s="1" t="str">
        <f t="shared" si="1"/>
        <v/>
      </c>
      <c r="N27" s="2" t="str">
        <f t="shared" si="1"/>
        <v/>
      </c>
      <c r="O27" s="2" t="str">
        <f t="shared" si="22"/>
        <v/>
      </c>
      <c r="P27" s="2" t="str">
        <f t="shared" si="23"/>
        <v/>
      </c>
      <c r="Q27" s="222" t="str">
        <f t="shared" si="2"/>
        <v/>
      </c>
      <c r="R27" s="83" t="str">
        <f t="shared" si="3"/>
        <v/>
      </c>
      <c r="S27" s="250" t="str">
        <f t="shared" si="4"/>
        <v/>
      </c>
      <c r="T27" s="253" t="str">
        <f t="shared" si="5"/>
        <v/>
      </c>
      <c r="V27" s="63"/>
      <c r="W27" s="63"/>
      <c r="X27" s="63"/>
      <c r="Y27" s="63"/>
      <c r="Z27" s="63"/>
      <c r="AA27" s="269"/>
      <c r="AB27" s="63"/>
      <c r="AC27" s="46" t="str">
        <f t="shared" si="24"/>
        <v/>
      </c>
      <c r="AD27" s="46" t="b">
        <f t="shared" si="25"/>
        <v>1</v>
      </c>
      <c r="AE27" s="46" t="b">
        <f t="shared" si="27"/>
        <v>1</v>
      </c>
      <c r="AF27" s="46" t="str">
        <f t="shared" si="6"/>
        <v/>
      </c>
      <c r="AG27" s="220" t="str">
        <f t="shared" si="7"/>
        <v/>
      </c>
      <c r="AH27" s="46" t="str">
        <f t="shared" si="8"/>
        <v/>
      </c>
      <c r="AI27" s="219" t="str">
        <f t="shared" si="9"/>
        <v/>
      </c>
      <c r="AJ27" s="46" t="str">
        <f t="shared" si="10"/>
        <v/>
      </c>
      <c r="AK27" s="46" t="str">
        <f t="shared" si="11"/>
        <v/>
      </c>
      <c r="AL27" s="46" t="str">
        <f t="shared" si="12"/>
        <v/>
      </c>
      <c r="AM27" s="46" t="str">
        <f t="shared" si="26"/>
        <v/>
      </c>
      <c r="AN27" s="46" t="b">
        <f t="shared" si="13"/>
        <v>0</v>
      </c>
      <c r="AO27" s="46">
        <f t="shared" si="14"/>
        <v>0</v>
      </c>
      <c r="AP27" s="48"/>
      <c r="AQ27" s="46" t="str">
        <f t="shared" si="15"/>
        <v/>
      </c>
      <c r="AR27" s="46" t="str">
        <f t="shared" si="16"/>
        <v/>
      </c>
      <c r="AS27" s="46" t="str">
        <f t="shared" si="17"/>
        <v/>
      </c>
      <c r="AT27" s="71" t="str">
        <f t="shared" si="18"/>
        <v/>
      </c>
      <c r="AU27" s="48"/>
      <c r="AV27" s="48"/>
      <c r="AW27" s="48"/>
      <c r="AX27" s="48"/>
      <c r="AY27" s="48"/>
      <c r="AZ27" s="263"/>
    </row>
    <row r="28" spans="1:52" ht="35.1" customHeight="1" thickBot="1" x14ac:dyDescent="0.25">
      <c r="A28" s="244"/>
      <c r="B28" s="3"/>
      <c r="C28" s="4"/>
      <c r="D28" s="243" t="str">
        <f t="shared" si="28"/>
        <v/>
      </c>
      <c r="E28" s="3"/>
      <c r="F28" s="4"/>
      <c r="G28" s="221" t="str">
        <f t="shared" si="20"/>
        <v/>
      </c>
      <c r="H28" s="3"/>
      <c r="I28" s="4"/>
      <c r="J28" s="221" t="str">
        <f t="shared" si="21"/>
        <v/>
      </c>
      <c r="K28" s="3"/>
      <c r="L28" s="275"/>
      <c r="M28" s="3" t="str">
        <f t="shared" si="1"/>
        <v/>
      </c>
      <c r="N28" s="4" t="str">
        <f t="shared" si="1"/>
        <v/>
      </c>
      <c r="O28" s="4" t="str">
        <f t="shared" si="22"/>
        <v/>
      </c>
      <c r="P28" s="4" t="str">
        <f t="shared" si="23"/>
        <v/>
      </c>
      <c r="Q28" s="245" t="str">
        <f t="shared" si="2"/>
        <v/>
      </c>
      <c r="R28" s="277" t="str">
        <f t="shared" si="3"/>
        <v/>
      </c>
      <c r="S28" s="251" t="str">
        <f t="shared" si="4"/>
        <v/>
      </c>
      <c r="T28" s="278" t="str">
        <f t="shared" si="5"/>
        <v/>
      </c>
      <c r="V28" s="63"/>
      <c r="W28" s="63"/>
      <c r="X28" s="63"/>
      <c r="Y28" s="63"/>
      <c r="Z28" s="63"/>
      <c r="AA28" s="269"/>
      <c r="AB28" s="63"/>
      <c r="AC28" s="46" t="str">
        <f t="shared" si="24"/>
        <v/>
      </c>
      <c r="AD28" s="46" t="b">
        <f t="shared" si="25"/>
        <v>1</v>
      </c>
      <c r="AE28" s="46" t="b">
        <f t="shared" si="27"/>
        <v>1</v>
      </c>
      <c r="AF28" s="46" t="str">
        <f t="shared" si="6"/>
        <v/>
      </c>
      <c r="AG28" s="220" t="str">
        <f t="shared" si="7"/>
        <v/>
      </c>
      <c r="AH28" s="46" t="str">
        <f t="shared" si="8"/>
        <v/>
      </c>
      <c r="AI28" s="219" t="str">
        <f t="shared" si="9"/>
        <v/>
      </c>
      <c r="AJ28" s="46" t="str">
        <f t="shared" si="10"/>
        <v/>
      </c>
      <c r="AK28" s="46" t="str">
        <f t="shared" si="11"/>
        <v/>
      </c>
      <c r="AL28" s="46" t="str">
        <f t="shared" si="12"/>
        <v/>
      </c>
      <c r="AM28" s="46" t="str">
        <f t="shared" si="26"/>
        <v/>
      </c>
      <c r="AN28" s="46" t="b">
        <f t="shared" si="13"/>
        <v>0</v>
      </c>
      <c r="AO28" s="46">
        <f t="shared" si="14"/>
        <v>0</v>
      </c>
      <c r="AP28" s="48"/>
      <c r="AQ28" s="46" t="str">
        <f t="shared" si="15"/>
        <v/>
      </c>
      <c r="AR28" s="46" t="str">
        <f t="shared" si="16"/>
        <v/>
      </c>
      <c r="AS28" s="46" t="str">
        <f t="shared" si="17"/>
        <v/>
      </c>
      <c r="AT28" s="71" t="str">
        <f t="shared" si="18"/>
        <v/>
      </c>
      <c r="AU28" s="48"/>
      <c r="AV28" s="48"/>
      <c r="AW28" s="48"/>
      <c r="AX28" s="48"/>
      <c r="AY28" s="48"/>
      <c r="AZ28" s="263"/>
    </row>
    <row r="29" spans="1:52" ht="16.899999999999999" customHeight="1" x14ac:dyDescent="0.2">
      <c r="AA29" s="262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 t="str">
        <f t="shared" si="15"/>
        <v/>
      </c>
      <c r="AR29" s="48"/>
      <c r="AS29" s="48"/>
      <c r="AT29" s="48"/>
      <c r="AU29" s="48"/>
      <c r="AV29" s="48"/>
      <c r="AW29" s="48"/>
      <c r="AX29" s="48"/>
      <c r="AY29" s="48"/>
      <c r="AZ29" s="263"/>
    </row>
    <row r="30" spans="1:52" ht="13.15" customHeight="1" thickBot="1" x14ac:dyDescent="0.3">
      <c r="A30" s="21" t="s">
        <v>28</v>
      </c>
      <c r="B30" s="232" t="s">
        <v>130</v>
      </c>
      <c r="D30" s="231">
        <v>44026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70"/>
      <c r="AB30" s="271"/>
      <c r="AC30" s="271"/>
      <c r="AD30" s="271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3"/>
    </row>
    <row r="31" spans="1:52" ht="13.1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58"/>
      <c r="AB31" s="22"/>
      <c r="AC31" s="22"/>
      <c r="AD31" s="22"/>
    </row>
    <row r="32" spans="1:52" x14ac:dyDescent="0.2">
      <c r="B32" s="43">
        <f t="shared" ref="B32:D32" si="29">SUM(B14:B28)</f>
        <v>0</v>
      </c>
      <c r="C32" s="43">
        <f t="shared" si="29"/>
        <v>0</v>
      </c>
      <c r="D32" s="43">
        <f t="shared" si="29"/>
        <v>0</v>
      </c>
      <c r="E32" s="43">
        <f t="shared" ref="E32:J32" si="30">SUM(E14:E28)</f>
        <v>0</v>
      </c>
      <c r="F32" s="43">
        <f t="shared" si="30"/>
        <v>0</v>
      </c>
      <c r="G32" s="43">
        <f t="shared" si="30"/>
        <v>0</v>
      </c>
      <c r="H32" s="43">
        <f t="shared" si="30"/>
        <v>0</v>
      </c>
      <c r="I32" s="43">
        <f t="shared" si="30"/>
        <v>0</v>
      </c>
      <c r="J32" s="43">
        <f t="shared" si="30"/>
        <v>0</v>
      </c>
    </row>
  </sheetData>
  <sheetProtection sheet="1" objects="1" scenarios="1"/>
  <customSheetViews>
    <customSheetView guid="{8CC68E3D-021C-4AA8-BD8C-67EF8AC42F21}" showPageBreaks="1" showGridLines="0" fitToPage="1" printArea="1" view="pageLayout">
      <selection activeCell="A4" sqref="A4"/>
      <rowBreaks count="1" manualBreakCount="1">
        <brk id="26" max="16" man="1"/>
      </rowBreaks>
      <colBreaks count="1" manualBreakCount="1">
        <brk id="13" min="3" max="23" man="1"/>
      </colBreaks>
      <pageMargins left="0.25" right="0.25" top="0.25" bottom="0.25" header="0.3" footer="0.3"/>
      <printOptions horizontalCentered="1"/>
      <pageSetup scale="73" orientation="landscape" horizontalDpi="1200" verticalDpi="1200" r:id="rId1"/>
      <headerFooter alignWithMargins="0"/>
    </customSheetView>
  </customSheetViews>
  <mergeCells count="8">
    <mergeCell ref="B4:C4"/>
    <mergeCell ref="B5:C5"/>
    <mergeCell ref="AQ12:AS12"/>
    <mergeCell ref="O1:T6"/>
    <mergeCell ref="D11:D12"/>
    <mergeCell ref="G11:G12"/>
    <mergeCell ref="J11:J12"/>
    <mergeCell ref="M8:S8"/>
  </mergeCells>
  <conditionalFormatting sqref="E14:E23">
    <cfRule type="expression" dxfId="69" priority="97" stopIfTrue="1">
      <formula>""</formula>
    </cfRule>
  </conditionalFormatting>
  <conditionalFormatting sqref="B4:C5 C9:C12 G9:G10 L9:L12">
    <cfRule type="containsBlanks" dxfId="68" priority="78">
      <formula>LEN(TRIM(B4))=0</formula>
    </cfRule>
  </conditionalFormatting>
  <conditionalFormatting sqref="B4:C4">
    <cfRule type="cellIs" dxfId="67" priority="77" operator="equal">
      <formula>"START HERE"</formula>
    </cfRule>
  </conditionalFormatting>
  <conditionalFormatting sqref="R14:R28">
    <cfRule type="containsBlanks" dxfId="66" priority="225">
      <formula>LEN(TRIM(R14))=0</formula>
    </cfRule>
    <cfRule type="cellIs" dxfId="65" priority="226" operator="greaterThan">
      <formula>MAX($R$9:$R$11)</formula>
    </cfRule>
  </conditionalFormatting>
  <conditionalFormatting sqref="R14:R28">
    <cfRule type="cellIs" dxfId="64" priority="76" operator="equal">
      <formula>"NOT TESTED"</formula>
    </cfRule>
  </conditionalFormatting>
  <conditionalFormatting sqref="J14:J28">
    <cfRule type="cellIs" dxfId="63" priority="71" operator="equal">
      <formula>"FAIL Output"</formula>
    </cfRule>
    <cfRule type="cellIs" dxfId="62" priority="72" operator="equal">
      <formula>"FAIL Phase"</formula>
    </cfRule>
    <cfRule type="cellIs" dxfId="61" priority="73" operator="equal">
      <formula>"PASS"</formula>
    </cfRule>
  </conditionalFormatting>
  <conditionalFormatting sqref="Q9:Q12">
    <cfRule type="cellIs" dxfId="60" priority="60" operator="equal">
      <formula>0</formula>
    </cfRule>
  </conditionalFormatting>
  <conditionalFormatting sqref="S14:T28">
    <cfRule type="cellIs" dxfId="59" priority="59" operator="equal">
      <formula>"FAIL"</formula>
    </cfRule>
  </conditionalFormatting>
  <conditionalFormatting sqref="G14:G28">
    <cfRule type="cellIs" dxfId="58" priority="56" operator="equal">
      <formula>"FAIL Output"</formula>
    </cfRule>
    <cfRule type="cellIs" dxfId="57" priority="57" operator="equal">
      <formula>"FAIL Phase"</formula>
    </cfRule>
    <cfRule type="cellIs" dxfId="56" priority="58" operator="equal">
      <formula>"PASS"</formula>
    </cfRule>
  </conditionalFormatting>
  <conditionalFormatting sqref="A14">
    <cfRule type="containsBlanks" dxfId="55" priority="54">
      <formula>LEN(TRIM(A14))=0</formula>
    </cfRule>
    <cfRule type="expression" dxfId="54" priority="55">
      <formula>AND(B14&lt;&gt;"",A14="")</formula>
    </cfRule>
  </conditionalFormatting>
  <conditionalFormatting sqref="A15:A28">
    <cfRule type="expression" dxfId="53" priority="53">
      <formula>AND(B15&lt;&gt;"",A15="")</formula>
    </cfRule>
  </conditionalFormatting>
  <conditionalFormatting sqref="M14:M28">
    <cfRule type="containsBlanks" dxfId="52" priority="4">
      <formula>LEN(TRIM(M14))=0</formula>
    </cfRule>
    <cfRule type="cellIs" dxfId="51" priority="230" operator="lessThan">
      <formula>$M$10</formula>
    </cfRule>
  </conditionalFormatting>
  <conditionalFormatting sqref="N14:N28">
    <cfRule type="containsBlanks" dxfId="50" priority="51">
      <formula>LEN(TRIM(N14))=0</formula>
    </cfRule>
    <cfRule type="cellIs" dxfId="49" priority="229" operator="notBetween">
      <formula>$N$10</formula>
      <formula>$N$12</formula>
    </cfRule>
  </conditionalFormatting>
  <conditionalFormatting sqref="O14:O28">
    <cfRule type="containsBlanks" dxfId="48" priority="49">
      <formula>LEN(TRIM(O14))=0</formula>
    </cfRule>
    <cfRule type="cellIs" dxfId="47" priority="52" operator="notBetween">
      <formula>$O$10</formula>
      <formula>$O$12</formula>
    </cfRule>
  </conditionalFormatting>
  <conditionalFormatting sqref="P14:P28">
    <cfRule type="containsBlanks" dxfId="46" priority="47">
      <formula>LEN(TRIM(P14))=0</formula>
    </cfRule>
    <cfRule type="cellIs" dxfId="45" priority="50" operator="lessThan">
      <formula>MIN($P$9:$P$12)</formula>
    </cfRule>
  </conditionalFormatting>
  <conditionalFormatting sqref="Q14:Q28">
    <cfRule type="containsBlanks" dxfId="44" priority="45">
      <formula>LEN(TRIM(Q14))=0</formula>
    </cfRule>
    <cfRule type="cellIs" dxfId="43" priority="48" operator="greaterThan">
      <formula>MAX($Q$9:$Q$12)</formula>
    </cfRule>
  </conditionalFormatting>
  <conditionalFormatting sqref="J9:J10">
    <cfRule type="containsBlanks" dxfId="42" priority="44">
      <formula>LEN(TRIM(J9))=0</formula>
    </cfRule>
  </conditionalFormatting>
  <conditionalFormatting sqref="D9:D10">
    <cfRule type="containsBlanks" dxfId="41" priority="42">
      <formula>LEN(TRIM(D9))=0</formula>
    </cfRule>
  </conditionalFormatting>
  <conditionalFormatting sqref="D11:D12">
    <cfRule type="cellIs" dxfId="40" priority="38" operator="equal">
      <formula>"Trim Complete"</formula>
    </cfRule>
    <cfRule type="cellIs" dxfId="39" priority="41" operator="equal">
      <formula>"Trim Required"</formula>
    </cfRule>
  </conditionalFormatting>
  <conditionalFormatting sqref="G11:G12">
    <cfRule type="cellIs" dxfId="38" priority="32" operator="equal">
      <formula>"Trim Complete"</formula>
    </cfRule>
    <cfRule type="cellIs" dxfId="37" priority="33" operator="equal">
      <formula>"Trim Required"</formula>
    </cfRule>
  </conditionalFormatting>
  <conditionalFormatting sqref="J11:J12">
    <cfRule type="cellIs" dxfId="36" priority="30" operator="equal">
      <formula>"Trim Complete"</formula>
    </cfRule>
    <cfRule type="cellIs" dxfId="35" priority="31" operator="equal">
      <formula>"Trim Required"</formula>
    </cfRule>
  </conditionalFormatting>
  <conditionalFormatting sqref="F9">
    <cfRule type="expression" dxfId="34" priority="29">
      <formula>AND($D$11="Trim Complete",$F$9="")</formula>
    </cfRule>
  </conditionalFormatting>
  <conditionalFormatting sqref="F10">
    <cfRule type="expression" dxfId="33" priority="27">
      <formula>AND($D$11="Trim Complete",$F$10="")</formula>
    </cfRule>
  </conditionalFormatting>
  <conditionalFormatting sqref="F11">
    <cfRule type="expression" dxfId="32" priority="26">
      <formula>AND($D$11="Trim Complete",$F$12="")</formula>
    </cfRule>
  </conditionalFormatting>
  <conditionalFormatting sqref="F12">
    <cfRule type="expression" dxfId="31" priority="25">
      <formula>AND($D$11="Trim Complete",$F$12="")</formula>
    </cfRule>
  </conditionalFormatting>
  <conditionalFormatting sqref="I9">
    <cfRule type="expression" dxfId="30" priority="24">
      <formula>AND($G$11="Trim Complete",$I$9="")</formula>
    </cfRule>
  </conditionalFormatting>
  <conditionalFormatting sqref="I10">
    <cfRule type="expression" dxfId="29" priority="23">
      <formula>AND($G$11="Trim Complete",$I$10="")</formula>
    </cfRule>
  </conditionalFormatting>
  <conditionalFormatting sqref="I11">
    <cfRule type="expression" dxfId="28" priority="22">
      <formula>AND($G$11="Trim Complete",$I$11="")</formula>
    </cfRule>
  </conditionalFormatting>
  <conditionalFormatting sqref="I12">
    <cfRule type="expression" dxfId="27" priority="21">
      <formula>AND($G$11="Trim Complete",$I$12="")</formula>
    </cfRule>
  </conditionalFormatting>
  <conditionalFormatting sqref="H14:H28 E14:E28">
    <cfRule type="containsBlanks" dxfId="26" priority="9">
      <formula>LEN(TRIM(E14))=0</formula>
    </cfRule>
  </conditionalFormatting>
  <conditionalFormatting sqref="B14:B28">
    <cfRule type="expression" dxfId="25" priority="18">
      <formula>""</formula>
    </cfRule>
    <cfRule type="containsBlanks" dxfId="24" priority="20">
      <formula>LEN(TRIM(B14))=0</formula>
    </cfRule>
    <cfRule type="cellIs" dxfId="23" priority="235" operator="lessThan">
      <formula>$G$4</formula>
    </cfRule>
  </conditionalFormatting>
  <conditionalFormatting sqref="D14:D28">
    <cfRule type="cellIs" dxfId="22" priority="12" operator="equal">
      <formula>"FAIL OUTPUT"</formula>
    </cfRule>
    <cfRule type="cellIs" dxfId="21" priority="13" operator="equal">
      <formula>"FAIL PHASE"</formula>
    </cfRule>
    <cfRule type="cellIs" dxfId="20" priority="14" operator="equal">
      <formula>"PASS"</formula>
    </cfRule>
  </conditionalFormatting>
  <conditionalFormatting sqref="H14:H28">
    <cfRule type="expression" dxfId="19" priority="7" stopIfTrue="1">
      <formula>""</formula>
    </cfRule>
    <cfRule type="cellIs" dxfId="18" priority="233" operator="notBetween">
      <formula>$AJ$4-$AJ$4*0.4</formula>
      <formula>$AJ$4+$AJ$4*0.4</formula>
    </cfRule>
  </conditionalFormatting>
  <conditionalFormatting sqref="I14:I28 F14:F28">
    <cfRule type="containsBlanks" dxfId="17" priority="251">
      <formula>LEN(TRIM(F14))=0</formula>
    </cfRule>
    <cfRule type="cellIs" dxfId="16" priority="252" operator="notBetween">
      <formula>$G$5+20</formula>
      <formula>$G$5-20</formula>
    </cfRule>
  </conditionalFormatting>
  <conditionalFormatting sqref="C14:C28">
    <cfRule type="containsBlanks" dxfId="15" priority="255">
      <formula>LEN(TRIM(C14))=0</formula>
    </cfRule>
    <cfRule type="cellIs" dxfId="14" priority="256" operator="notBetween">
      <formula>$G$5+20</formula>
      <formula>$G$5-20</formula>
    </cfRule>
  </conditionalFormatting>
  <conditionalFormatting sqref="E14:E28">
    <cfRule type="cellIs" dxfId="13" priority="234" operator="notBetween">
      <formula>$AF$4-$AF$4*0.4</formula>
      <formula>$AF$4+$AF$4*0.4</formula>
    </cfRule>
  </conditionalFormatting>
  <conditionalFormatting sqref="R12:S12">
    <cfRule type="cellIs" dxfId="12" priority="6" operator="equal">
      <formula>0</formula>
    </cfRule>
  </conditionalFormatting>
  <conditionalFormatting sqref="R9:S11">
    <cfRule type="cellIs" dxfId="11" priority="5" operator="equal">
      <formula>0</formula>
    </cfRule>
  </conditionalFormatting>
  <conditionalFormatting sqref="M14:Q28">
    <cfRule type="cellIs" dxfId="10" priority="46" operator="equal">
      <formula>"Not Tested"</formula>
    </cfRule>
  </conditionalFormatting>
  <conditionalFormatting sqref="K14:K28">
    <cfRule type="cellIs" dxfId="9" priority="3" operator="notBetween">
      <formula>$AJ$4-$AJ$4*0.5</formula>
      <formula>$AJ$4+$AJ$4*0.5</formula>
    </cfRule>
    <cfRule type="containsBlanks" dxfId="8" priority="2">
      <formula>LEN(TRIM(K14))=0</formula>
    </cfRule>
    <cfRule type="expression" dxfId="7" priority="1">
      <formula>""</formula>
    </cfRule>
  </conditionalFormatting>
  <hyperlinks>
    <hyperlink ref="J2" r:id="rId2"/>
  </hyperlinks>
  <printOptions horizontalCentered="1" gridLinesSet="0"/>
  <pageMargins left="0.25" right="0.25" top="0.25" bottom="0.25" header="0.3" footer="0.3"/>
  <pageSetup scale="57" orientation="landscape" horizontalDpi="1200" verticalDpi="1200" r:id="rId3"/>
  <headerFooter alignWithMargins="0"/>
  <colBreaks count="1" manualBreakCount="1">
    <brk id="21" max="1048575" man="1"/>
  </col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9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33" sqref="H33"/>
    </sheetView>
  </sheetViews>
  <sheetFormatPr defaultColWidth="8.85546875" defaultRowHeight="15" x14ac:dyDescent="0.2"/>
  <cols>
    <col min="1" max="1" width="23.140625" style="6" customWidth="1"/>
    <col min="2" max="13" width="17.28515625" style="6" customWidth="1"/>
    <col min="14" max="14" width="8.85546875" style="6"/>
    <col min="15" max="15" width="10.5703125" style="6" customWidth="1"/>
    <col min="16" max="17" width="8.85546875" style="6"/>
    <col min="18" max="20" width="0" style="6" hidden="1" customWidth="1"/>
    <col min="21" max="34" width="8.85546875" style="6"/>
    <col min="35" max="35" width="8.85546875" style="24"/>
    <col min="36" max="36" width="8.85546875" style="6"/>
    <col min="37" max="38" width="11.28515625" style="21" customWidth="1"/>
    <col min="39" max="39" width="8.85546875" style="189"/>
    <col min="40" max="16384" width="8.85546875" style="6"/>
  </cols>
  <sheetData>
    <row r="1" spans="1:39" ht="35.25" x14ac:dyDescent="0.2">
      <c r="A1" s="218" t="s">
        <v>58</v>
      </c>
    </row>
    <row r="2" spans="1:39" ht="12.6" customHeight="1" x14ac:dyDescent="0.2">
      <c r="A2" s="19">
        <f>COLUMN(A3)</f>
        <v>1</v>
      </c>
      <c r="B2" s="19">
        <f>COLUMN(B3)</f>
        <v>2</v>
      </c>
      <c r="C2" s="19">
        <f t="shared" ref="C2:AL2" si="0">COLUMN(C3)</f>
        <v>3</v>
      </c>
      <c r="D2" s="19">
        <f t="shared" si="0"/>
        <v>4</v>
      </c>
      <c r="E2" s="19">
        <f t="shared" si="0"/>
        <v>5</v>
      </c>
      <c r="F2" s="19">
        <f t="shared" si="0"/>
        <v>6</v>
      </c>
      <c r="G2" s="19">
        <f t="shared" si="0"/>
        <v>7</v>
      </c>
      <c r="H2" s="19">
        <f t="shared" si="0"/>
        <v>8</v>
      </c>
      <c r="I2" s="19">
        <f t="shared" si="0"/>
        <v>9</v>
      </c>
      <c r="J2" s="19">
        <f t="shared" si="0"/>
        <v>10</v>
      </c>
      <c r="K2" s="19">
        <f t="shared" si="0"/>
        <v>11</v>
      </c>
      <c r="L2" s="19">
        <f t="shared" si="0"/>
        <v>12</v>
      </c>
      <c r="M2" s="19">
        <f t="shared" si="0"/>
        <v>13</v>
      </c>
      <c r="N2" s="19">
        <f t="shared" si="0"/>
        <v>14</v>
      </c>
      <c r="O2" s="19">
        <f t="shared" si="0"/>
        <v>15</v>
      </c>
      <c r="P2" s="19">
        <f t="shared" si="0"/>
        <v>16</v>
      </c>
      <c r="Q2" s="19">
        <f t="shared" si="0"/>
        <v>17</v>
      </c>
      <c r="R2" s="19">
        <f t="shared" si="0"/>
        <v>18</v>
      </c>
      <c r="S2" s="19">
        <f t="shared" si="0"/>
        <v>19</v>
      </c>
      <c r="T2" s="19">
        <f t="shared" si="0"/>
        <v>20</v>
      </c>
      <c r="U2" s="19">
        <f t="shared" si="0"/>
        <v>21</v>
      </c>
      <c r="V2" s="19">
        <f t="shared" si="0"/>
        <v>22</v>
      </c>
      <c r="W2" s="19">
        <f t="shared" si="0"/>
        <v>23</v>
      </c>
      <c r="X2" s="19">
        <f t="shared" si="0"/>
        <v>24</v>
      </c>
      <c r="Y2" s="19">
        <f t="shared" si="0"/>
        <v>25</v>
      </c>
      <c r="Z2" s="19">
        <f t="shared" si="0"/>
        <v>26</v>
      </c>
      <c r="AA2" s="19">
        <f t="shared" si="0"/>
        <v>27</v>
      </c>
      <c r="AB2" s="19">
        <f t="shared" si="0"/>
        <v>28</v>
      </c>
      <c r="AC2" s="19">
        <f t="shared" si="0"/>
        <v>29</v>
      </c>
      <c r="AD2" s="19">
        <f t="shared" si="0"/>
        <v>30</v>
      </c>
      <c r="AE2" s="19">
        <f t="shared" si="0"/>
        <v>31</v>
      </c>
      <c r="AF2" s="19">
        <f t="shared" si="0"/>
        <v>32</v>
      </c>
      <c r="AG2" s="19">
        <f t="shared" si="0"/>
        <v>33</v>
      </c>
      <c r="AH2" s="19">
        <f t="shared" si="0"/>
        <v>34</v>
      </c>
      <c r="AI2" s="19">
        <f t="shared" si="0"/>
        <v>35</v>
      </c>
      <c r="AJ2" s="19">
        <f t="shared" si="0"/>
        <v>36</v>
      </c>
      <c r="AK2" s="19">
        <f t="shared" si="0"/>
        <v>37</v>
      </c>
      <c r="AL2" s="19">
        <f t="shared" si="0"/>
        <v>38</v>
      </c>
      <c r="AM2" s="19">
        <f>COLUMN(AM3)</f>
        <v>39</v>
      </c>
    </row>
    <row r="3" spans="1:39" s="9" customFormat="1" ht="34.15" customHeight="1" x14ac:dyDescent="0.25">
      <c r="A3" s="7" t="s">
        <v>11</v>
      </c>
      <c r="B3" s="299" t="s">
        <v>33</v>
      </c>
      <c r="C3" s="300"/>
      <c r="D3" s="7" t="s">
        <v>30</v>
      </c>
      <c r="E3" s="299" t="s">
        <v>126</v>
      </c>
      <c r="F3" s="300"/>
      <c r="G3" s="7" t="s">
        <v>127</v>
      </c>
      <c r="H3" s="7" t="s">
        <v>128</v>
      </c>
      <c r="I3" s="7" t="s">
        <v>3</v>
      </c>
      <c r="J3" s="299" t="s">
        <v>5</v>
      </c>
      <c r="K3" s="307"/>
      <c r="L3" s="300"/>
      <c r="M3" s="8" t="s">
        <v>9</v>
      </c>
      <c r="N3" s="76"/>
      <c r="O3" s="77"/>
      <c r="P3" s="305"/>
      <c r="Q3" s="306"/>
      <c r="R3" s="301" t="s">
        <v>38</v>
      </c>
      <c r="S3" s="301"/>
      <c r="T3" s="301"/>
      <c r="U3" s="302" t="s">
        <v>39</v>
      </c>
      <c r="V3" s="301"/>
      <c r="W3" s="303"/>
      <c r="X3" s="302" t="s">
        <v>40</v>
      </c>
      <c r="Y3" s="301"/>
      <c r="Z3" s="303"/>
      <c r="AA3" s="302" t="s">
        <v>41</v>
      </c>
      <c r="AB3" s="301"/>
      <c r="AC3" s="301"/>
      <c r="AD3" s="302" t="s">
        <v>98</v>
      </c>
      <c r="AE3" s="301"/>
      <c r="AF3" s="303"/>
      <c r="AG3" s="302" t="s">
        <v>76</v>
      </c>
      <c r="AH3" s="303"/>
      <c r="AI3" s="25"/>
      <c r="AK3" s="304" t="s">
        <v>109</v>
      </c>
      <c r="AL3" s="304"/>
      <c r="AM3" s="190"/>
    </row>
    <row r="4" spans="1:39" s="9" customFormat="1" ht="102" x14ac:dyDescent="0.25">
      <c r="A4" s="10"/>
      <c r="B4" s="20" t="s">
        <v>31</v>
      </c>
      <c r="C4" s="20" t="s">
        <v>32</v>
      </c>
      <c r="D4" s="10"/>
      <c r="E4" s="20" t="s">
        <v>31</v>
      </c>
      <c r="F4" s="20" t="s">
        <v>32</v>
      </c>
      <c r="G4" s="10"/>
      <c r="H4" s="10"/>
      <c r="I4" s="10"/>
      <c r="J4" s="11"/>
      <c r="K4" s="12"/>
      <c r="L4" s="13"/>
      <c r="M4" s="11"/>
      <c r="N4" s="73" t="s">
        <v>37</v>
      </c>
      <c r="O4" s="14" t="s">
        <v>69</v>
      </c>
      <c r="P4" s="73" t="s">
        <v>67</v>
      </c>
      <c r="Q4" s="74" t="s">
        <v>68</v>
      </c>
      <c r="R4" s="72" t="s">
        <v>59</v>
      </c>
      <c r="S4" s="14" t="s">
        <v>35</v>
      </c>
      <c r="T4" s="14" t="s">
        <v>36</v>
      </c>
      <c r="U4" s="73" t="s">
        <v>59</v>
      </c>
      <c r="V4" s="14" t="s">
        <v>35</v>
      </c>
      <c r="W4" s="74" t="s">
        <v>36</v>
      </c>
      <c r="X4" s="73" t="s">
        <v>59</v>
      </c>
      <c r="Y4" s="14" t="s">
        <v>35</v>
      </c>
      <c r="Z4" s="74" t="s">
        <v>36</v>
      </c>
      <c r="AA4" s="73" t="s">
        <v>59</v>
      </c>
      <c r="AB4" s="14" t="s">
        <v>35</v>
      </c>
      <c r="AC4" s="14" t="s">
        <v>36</v>
      </c>
      <c r="AD4" s="73" t="s">
        <v>59</v>
      </c>
      <c r="AE4" s="14" t="s">
        <v>35</v>
      </c>
      <c r="AF4" s="74" t="s">
        <v>36</v>
      </c>
      <c r="AG4" s="73" t="s">
        <v>78</v>
      </c>
      <c r="AH4" s="74" t="s">
        <v>79</v>
      </c>
      <c r="AI4" s="75" t="s">
        <v>66</v>
      </c>
      <c r="AJ4" s="9" t="s">
        <v>80</v>
      </c>
      <c r="AK4" s="98" t="s">
        <v>110</v>
      </c>
      <c r="AL4" s="98" t="s">
        <v>1</v>
      </c>
      <c r="AM4" s="190" t="s">
        <v>60</v>
      </c>
    </row>
    <row r="5" spans="1:39" s="9" customFormat="1" ht="30" x14ac:dyDescent="0.2">
      <c r="A5" s="15"/>
      <c r="B5" s="15" t="s">
        <v>8</v>
      </c>
      <c r="C5" s="15" t="s">
        <v>8</v>
      </c>
      <c r="D5" s="15" t="s">
        <v>8</v>
      </c>
      <c r="E5" s="15" t="s">
        <v>8</v>
      </c>
      <c r="F5" s="15" t="s">
        <v>8</v>
      </c>
      <c r="G5" s="15" t="s">
        <v>8</v>
      </c>
      <c r="H5" s="15" t="s">
        <v>8</v>
      </c>
      <c r="I5" s="15" t="s">
        <v>7</v>
      </c>
      <c r="J5" s="16" t="s">
        <v>6</v>
      </c>
      <c r="K5" s="17" t="s">
        <v>4</v>
      </c>
      <c r="L5" s="18" t="str">
        <f>CONCATENATE(J5," / ",K5)</f>
        <v>Inches / mV/G</v>
      </c>
      <c r="M5" s="16" t="s">
        <v>6</v>
      </c>
      <c r="N5" s="87" t="s">
        <v>51</v>
      </c>
      <c r="O5" s="88" t="s">
        <v>52</v>
      </c>
      <c r="P5" s="87" t="s">
        <v>53</v>
      </c>
      <c r="Q5" s="89" t="s">
        <v>53</v>
      </c>
      <c r="R5" s="90" t="s">
        <v>54</v>
      </c>
      <c r="S5" s="91" t="s">
        <v>55</v>
      </c>
      <c r="T5" s="88" t="s">
        <v>56</v>
      </c>
      <c r="U5" s="87" t="s">
        <v>54</v>
      </c>
      <c r="V5" s="91" t="s">
        <v>55</v>
      </c>
      <c r="W5" s="89" t="s">
        <v>56</v>
      </c>
      <c r="X5" s="87" t="s">
        <v>54</v>
      </c>
      <c r="Y5" s="91" t="s">
        <v>55</v>
      </c>
      <c r="Z5" s="89" t="s">
        <v>56</v>
      </c>
      <c r="AA5" s="87" t="s">
        <v>54</v>
      </c>
      <c r="AB5" s="91" t="s">
        <v>55</v>
      </c>
      <c r="AC5" s="88" t="s">
        <v>56</v>
      </c>
      <c r="AD5" s="87" t="s">
        <v>54</v>
      </c>
      <c r="AE5" s="91" t="s">
        <v>55</v>
      </c>
      <c r="AF5" s="89" t="s">
        <v>56</v>
      </c>
      <c r="AG5" s="87" t="s">
        <v>77</v>
      </c>
      <c r="AH5" s="89" t="s">
        <v>77</v>
      </c>
      <c r="AI5" s="25"/>
      <c r="AK5" s="98"/>
      <c r="AL5" s="98"/>
      <c r="AM5" s="190"/>
    </row>
    <row r="6" spans="1:39" s="192" customFormat="1" ht="12.75" x14ac:dyDescent="0.2">
      <c r="A6" s="136" t="s">
        <v>97</v>
      </c>
      <c r="B6" s="99">
        <v>0</v>
      </c>
      <c r="C6" s="99">
        <v>0.08</v>
      </c>
      <c r="D6" s="99">
        <v>0.04</v>
      </c>
      <c r="E6" s="248"/>
      <c r="F6" s="248"/>
      <c r="G6" s="248"/>
      <c r="H6" s="248" t="s">
        <v>135</v>
      </c>
      <c r="I6" s="100">
        <v>180</v>
      </c>
      <c r="J6" s="100">
        <v>5.0000000000000001E-3</v>
      </c>
      <c r="K6" s="99">
        <v>0.05</v>
      </c>
      <c r="L6" s="247">
        <f>J6/K6</f>
        <v>9.9999999999999992E-2</v>
      </c>
      <c r="M6" s="101">
        <v>1.4E-2</v>
      </c>
      <c r="N6" s="102">
        <v>3</v>
      </c>
      <c r="O6" s="103">
        <v>1000000000000</v>
      </c>
      <c r="P6" s="102">
        <v>7.5</v>
      </c>
      <c r="Q6" s="104">
        <v>12.5</v>
      </c>
      <c r="R6" s="137"/>
      <c r="S6" s="105"/>
      <c r="T6" s="138"/>
      <c r="U6" s="102">
        <v>400</v>
      </c>
      <c r="V6" s="105">
        <v>5.0000000000000001E-3</v>
      </c>
      <c r="W6" s="106">
        <v>2</v>
      </c>
      <c r="X6" s="102"/>
      <c r="Y6" s="105"/>
      <c r="Z6" s="106"/>
      <c r="AA6" s="102"/>
      <c r="AB6" s="105"/>
      <c r="AC6" s="107"/>
      <c r="AD6" s="141"/>
      <c r="AE6" s="142"/>
      <c r="AF6" s="143"/>
      <c r="AG6" s="80"/>
      <c r="AH6" s="81"/>
      <c r="AI6" s="191">
        <v>10</v>
      </c>
      <c r="AJ6" s="192" t="b">
        <f t="shared" ref="AJ6:AJ37" si="1">OR(N6="",O6="",P6="",Q6="",U6="",V6="",W6="")</f>
        <v>0</v>
      </c>
      <c r="AK6" s="191" t="s">
        <v>104</v>
      </c>
      <c r="AL6" s="193">
        <v>43924</v>
      </c>
      <c r="AM6" s="194"/>
    </row>
    <row r="7" spans="1:39" s="192" customFormat="1" ht="12.75" x14ac:dyDescent="0.2">
      <c r="A7" s="108" t="s">
        <v>19</v>
      </c>
      <c r="B7" s="279">
        <f>0.09-0.09</f>
        <v>0</v>
      </c>
      <c r="C7" s="109">
        <v>0.155</v>
      </c>
      <c r="D7" s="109">
        <v>0.1225</v>
      </c>
      <c r="E7" s="248"/>
      <c r="F7" s="248"/>
      <c r="G7" s="248"/>
      <c r="H7" s="248">
        <v>0.2</v>
      </c>
      <c r="I7" s="110">
        <v>180</v>
      </c>
      <c r="J7" s="246">
        <f>0.003*1000</f>
        <v>3</v>
      </c>
      <c r="K7" s="109">
        <v>0.05</v>
      </c>
      <c r="L7" s="247">
        <f>J7/K7</f>
        <v>60</v>
      </c>
      <c r="M7" s="111">
        <v>1.4999999999999999E-2</v>
      </c>
      <c r="N7" s="112">
        <v>2</v>
      </c>
      <c r="O7" s="113">
        <v>1000000000000</v>
      </c>
      <c r="P7" s="112">
        <v>15</v>
      </c>
      <c r="Q7" s="114">
        <v>25</v>
      </c>
      <c r="R7" s="115"/>
      <c r="S7" s="116"/>
      <c r="T7" s="117"/>
      <c r="U7" s="112">
        <v>250</v>
      </c>
      <c r="V7" s="116">
        <v>2E-3</v>
      </c>
      <c r="W7" s="118">
        <v>1</v>
      </c>
      <c r="X7" s="112"/>
      <c r="Y7" s="116"/>
      <c r="Z7" s="118"/>
      <c r="AA7" s="112"/>
      <c r="AB7" s="116"/>
      <c r="AC7" s="119"/>
      <c r="AD7" s="120"/>
      <c r="AE7" s="121"/>
      <c r="AF7" s="118"/>
      <c r="AG7" s="80"/>
      <c r="AH7" s="81"/>
      <c r="AI7" s="191">
        <v>20</v>
      </c>
      <c r="AJ7" s="192" t="b">
        <f t="shared" si="1"/>
        <v>0</v>
      </c>
      <c r="AK7" s="191" t="s">
        <v>104</v>
      </c>
      <c r="AL7" s="193">
        <v>43921</v>
      </c>
      <c r="AM7" s="194"/>
    </row>
    <row r="8" spans="1:39" s="192" customFormat="1" ht="12.75" x14ac:dyDescent="0.2">
      <c r="A8" s="108" t="s">
        <v>20</v>
      </c>
      <c r="B8" s="109">
        <v>0.25</v>
      </c>
      <c r="C8" s="109">
        <v>0.35</v>
      </c>
      <c r="D8" s="109">
        <v>0.3</v>
      </c>
      <c r="E8" s="248"/>
      <c r="F8" s="248"/>
      <c r="G8" s="248"/>
      <c r="H8" s="248">
        <v>0.2</v>
      </c>
      <c r="I8" s="110">
        <v>180</v>
      </c>
      <c r="J8" s="110">
        <v>3.0000000000000001E-3</v>
      </c>
      <c r="K8" s="109">
        <v>0.05</v>
      </c>
      <c r="L8" s="247">
        <f t="shared" ref="L8:L71" si="2">J8/K8</f>
        <v>0.06</v>
      </c>
      <c r="M8" s="111">
        <v>1.4999999999999999E-2</v>
      </c>
      <c r="N8" s="112">
        <v>2</v>
      </c>
      <c r="O8" s="113">
        <v>1000000000000</v>
      </c>
      <c r="P8" s="112">
        <v>15</v>
      </c>
      <c r="Q8" s="114">
        <v>25</v>
      </c>
      <c r="R8" s="115"/>
      <c r="S8" s="116"/>
      <c r="T8" s="117"/>
      <c r="U8" s="112">
        <v>250</v>
      </c>
      <c r="V8" s="116">
        <v>2E-3</v>
      </c>
      <c r="W8" s="118">
        <v>1</v>
      </c>
      <c r="X8" s="112"/>
      <c r="Y8" s="116"/>
      <c r="Z8" s="118"/>
      <c r="AA8" s="112"/>
      <c r="AB8" s="116"/>
      <c r="AC8" s="119"/>
      <c r="AD8" s="120"/>
      <c r="AE8" s="121"/>
      <c r="AF8" s="118"/>
      <c r="AG8" s="80"/>
      <c r="AH8" s="81"/>
      <c r="AI8" s="191">
        <v>20</v>
      </c>
      <c r="AJ8" s="192" t="b">
        <f t="shared" si="1"/>
        <v>0</v>
      </c>
      <c r="AK8" s="191" t="s">
        <v>104</v>
      </c>
      <c r="AL8" s="193">
        <v>43921</v>
      </c>
      <c r="AM8" s="194"/>
    </row>
    <row r="9" spans="1:39" s="192" customFormat="1" ht="12.75" x14ac:dyDescent="0.2">
      <c r="A9" s="108" t="s">
        <v>21</v>
      </c>
      <c r="B9" s="279">
        <f>0.09-0.09</f>
        <v>0</v>
      </c>
      <c r="C9" s="109">
        <v>0.155</v>
      </c>
      <c r="D9" s="109">
        <v>0.1225</v>
      </c>
      <c r="E9" s="248"/>
      <c r="F9" s="248"/>
      <c r="G9" s="248"/>
      <c r="H9" s="248">
        <v>0.2</v>
      </c>
      <c r="I9" s="110">
        <v>180</v>
      </c>
      <c r="J9" s="110">
        <v>3.0000000000000001E-3</v>
      </c>
      <c r="K9" s="109">
        <v>0.05</v>
      </c>
      <c r="L9" s="247">
        <f t="shared" si="2"/>
        <v>0.06</v>
      </c>
      <c r="M9" s="111">
        <v>1.4999999999999999E-2</v>
      </c>
      <c r="N9" s="112">
        <v>2</v>
      </c>
      <c r="O9" s="113">
        <v>1000000000000</v>
      </c>
      <c r="P9" s="112">
        <v>15</v>
      </c>
      <c r="Q9" s="114">
        <v>25</v>
      </c>
      <c r="R9" s="115"/>
      <c r="S9" s="116"/>
      <c r="T9" s="117"/>
      <c r="U9" s="112">
        <v>250</v>
      </c>
      <c r="V9" s="116">
        <v>2E-3</v>
      </c>
      <c r="W9" s="118">
        <v>1</v>
      </c>
      <c r="X9" s="112"/>
      <c r="Y9" s="116"/>
      <c r="Z9" s="118"/>
      <c r="AA9" s="112"/>
      <c r="AB9" s="116"/>
      <c r="AC9" s="119"/>
      <c r="AD9" s="120"/>
      <c r="AE9" s="121"/>
      <c r="AF9" s="118"/>
      <c r="AG9" s="80"/>
      <c r="AH9" s="81"/>
      <c r="AI9" s="191">
        <v>20</v>
      </c>
      <c r="AJ9" s="192" t="b">
        <f t="shared" si="1"/>
        <v>0</v>
      </c>
      <c r="AK9" s="191" t="s">
        <v>104</v>
      </c>
      <c r="AL9" s="193">
        <v>43921</v>
      </c>
      <c r="AM9" s="194"/>
    </row>
    <row r="10" spans="1:39" s="192" customFormat="1" ht="12.75" x14ac:dyDescent="0.2">
      <c r="A10" s="144" t="s">
        <v>114</v>
      </c>
      <c r="B10" s="145">
        <v>0.25</v>
      </c>
      <c r="C10" s="145">
        <v>0.35</v>
      </c>
      <c r="D10" s="145">
        <v>0.3</v>
      </c>
      <c r="E10" s="248"/>
      <c r="F10" s="248"/>
      <c r="G10" s="248"/>
      <c r="H10" s="248" t="s">
        <v>135</v>
      </c>
      <c r="I10" s="146">
        <v>180</v>
      </c>
      <c r="J10" s="146">
        <v>3.0000000000000001E-3</v>
      </c>
      <c r="K10" s="145">
        <v>0.05</v>
      </c>
      <c r="L10" s="247">
        <f t="shared" si="2"/>
        <v>0.06</v>
      </c>
      <c r="M10" s="147">
        <v>1.4999999999999999E-2</v>
      </c>
      <c r="N10" s="148">
        <v>2</v>
      </c>
      <c r="O10" s="149">
        <v>1000000000000</v>
      </c>
      <c r="P10" s="148">
        <v>15</v>
      </c>
      <c r="Q10" s="150">
        <v>25</v>
      </c>
      <c r="R10" s="151"/>
      <c r="S10" s="152"/>
      <c r="T10" s="153"/>
      <c r="U10" s="148">
        <v>250</v>
      </c>
      <c r="V10" s="152">
        <v>2E-3</v>
      </c>
      <c r="W10" s="154">
        <v>1</v>
      </c>
      <c r="X10" s="148"/>
      <c r="Y10" s="152"/>
      <c r="Z10" s="154"/>
      <c r="AA10" s="148"/>
      <c r="AB10" s="152"/>
      <c r="AC10" s="155"/>
      <c r="AD10" s="156"/>
      <c r="AE10" s="157"/>
      <c r="AF10" s="154"/>
      <c r="AG10" s="80"/>
      <c r="AH10" s="81"/>
      <c r="AI10" s="191">
        <v>20</v>
      </c>
      <c r="AJ10" s="192" t="b">
        <f t="shared" si="1"/>
        <v>0</v>
      </c>
      <c r="AK10" s="191" t="s">
        <v>104</v>
      </c>
      <c r="AL10" s="193">
        <v>43924</v>
      </c>
      <c r="AM10" s="194"/>
    </row>
    <row r="11" spans="1:39" s="192" customFormat="1" ht="12.75" x14ac:dyDescent="0.2">
      <c r="A11" s="144" t="s">
        <v>45</v>
      </c>
      <c r="B11" s="145">
        <v>0.09</v>
      </c>
      <c r="C11" s="145">
        <v>0.155</v>
      </c>
      <c r="D11" s="145">
        <v>0.1225</v>
      </c>
      <c r="E11" s="248"/>
      <c r="F11" s="248"/>
      <c r="G11" s="248"/>
      <c r="H11" s="248" t="s">
        <v>135</v>
      </c>
      <c r="I11" s="146">
        <v>0</v>
      </c>
      <c r="J11" s="146">
        <v>3.0000000000000001E-3</v>
      </c>
      <c r="K11" s="145">
        <v>0.05</v>
      </c>
      <c r="L11" s="247">
        <f t="shared" si="2"/>
        <v>0.06</v>
      </c>
      <c r="M11" s="147">
        <v>1.4E-2</v>
      </c>
      <c r="N11" s="148">
        <v>2</v>
      </c>
      <c r="O11" s="149">
        <v>1000000000000</v>
      </c>
      <c r="P11" s="148">
        <v>15</v>
      </c>
      <c r="Q11" s="150">
        <v>25</v>
      </c>
      <c r="R11" s="151"/>
      <c r="S11" s="152"/>
      <c r="T11" s="158"/>
      <c r="U11" s="148">
        <v>250</v>
      </c>
      <c r="V11" s="152">
        <v>2E-3</v>
      </c>
      <c r="W11" s="154">
        <v>1</v>
      </c>
      <c r="X11" s="148"/>
      <c r="Y11" s="152"/>
      <c r="Z11" s="154"/>
      <c r="AA11" s="148"/>
      <c r="AB11" s="152"/>
      <c r="AC11" s="155"/>
      <c r="AD11" s="156"/>
      <c r="AE11" s="157"/>
      <c r="AF11" s="154"/>
      <c r="AG11" s="80"/>
      <c r="AH11" s="81"/>
      <c r="AI11" s="191">
        <v>20</v>
      </c>
      <c r="AJ11" s="192" t="b">
        <f t="shared" si="1"/>
        <v>0</v>
      </c>
      <c r="AK11" s="191" t="s">
        <v>104</v>
      </c>
      <c r="AL11" s="193">
        <v>43924</v>
      </c>
      <c r="AM11" s="194"/>
    </row>
    <row r="12" spans="1:39" s="192" customFormat="1" ht="12.75" x14ac:dyDescent="0.2">
      <c r="A12" s="159" t="s">
        <v>92</v>
      </c>
      <c r="B12" s="160">
        <v>0.17499999999999999</v>
      </c>
      <c r="C12" s="160">
        <v>0.22500000000000001</v>
      </c>
      <c r="D12" s="160">
        <v>0.2</v>
      </c>
      <c r="E12" s="248"/>
      <c r="F12" s="248"/>
      <c r="G12" s="248"/>
      <c r="H12" s="248" t="s">
        <v>135</v>
      </c>
      <c r="I12" s="161">
        <v>0</v>
      </c>
      <c r="J12" s="161">
        <v>3.0000000000000001E-3</v>
      </c>
      <c r="K12" s="160">
        <v>0.05</v>
      </c>
      <c r="L12" s="247">
        <f t="shared" si="2"/>
        <v>0.06</v>
      </c>
      <c r="M12" s="162">
        <v>1.4E-2</v>
      </c>
      <c r="N12" s="163">
        <v>2</v>
      </c>
      <c r="O12" s="164">
        <v>1000000000000</v>
      </c>
      <c r="P12" s="163">
        <v>15</v>
      </c>
      <c r="Q12" s="165">
        <v>25</v>
      </c>
      <c r="R12" s="166"/>
      <c r="S12" s="167"/>
      <c r="T12" s="168"/>
      <c r="U12" s="163">
        <v>250</v>
      </c>
      <c r="V12" s="167">
        <v>2E-3</v>
      </c>
      <c r="W12" s="169">
        <v>1</v>
      </c>
      <c r="X12" s="163"/>
      <c r="Y12" s="167"/>
      <c r="Z12" s="169"/>
      <c r="AA12" s="163"/>
      <c r="AB12" s="167"/>
      <c r="AC12" s="170"/>
      <c r="AD12" s="171"/>
      <c r="AE12" s="172"/>
      <c r="AF12" s="169"/>
      <c r="AG12" s="80"/>
      <c r="AH12" s="81"/>
      <c r="AI12" s="191">
        <v>20</v>
      </c>
      <c r="AJ12" s="192" t="b">
        <f t="shared" si="1"/>
        <v>0</v>
      </c>
      <c r="AK12" s="191" t="s">
        <v>104</v>
      </c>
      <c r="AL12" s="193">
        <v>43924</v>
      </c>
      <c r="AM12" s="194"/>
    </row>
    <row r="13" spans="1:39" s="192" customFormat="1" ht="12.75" x14ac:dyDescent="0.2">
      <c r="A13" s="136" t="s">
        <v>86</v>
      </c>
      <c r="B13" s="99">
        <v>0.65</v>
      </c>
      <c r="C13" s="99">
        <v>0.9</v>
      </c>
      <c r="D13" s="99">
        <v>0.77500000000000002</v>
      </c>
      <c r="E13" s="248"/>
      <c r="F13" s="248"/>
      <c r="G13" s="248"/>
      <c r="H13" s="248" t="s">
        <v>135</v>
      </c>
      <c r="I13" s="100">
        <v>180</v>
      </c>
      <c r="J13" s="100">
        <v>1E-3</v>
      </c>
      <c r="K13" s="99">
        <v>0.05</v>
      </c>
      <c r="L13" s="247">
        <f t="shared" si="2"/>
        <v>0.02</v>
      </c>
      <c r="M13" s="101">
        <v>0.03</v>
      </c>
      <c r="N13" s="102">
        <v>12</v>
      </c>
      <c r="O13" s="103">
        <v>1000000000000</v>
      </c>
      <c r="P13" s="102" t="s">
        <v>115</v>
      </c>
      <c r="Q13" s="104" t="s">
        <v>115</v>
      </c>
      <c r="R13" s="137"/>
      <c r="S13" s="105"/>
      <c r="T13" s="138"/>
      <c r="U13" s="163" t="s">
        <v>112</v>
      </c>
      <c r="V13" s="167" t="s">
        <v>113</v>
      </c>
      <c r="W13" s="169" t="s">
        <v>115</v>
      </c>
      <c r="X13" s="102"/>
      <c r="Y13" s="105"/>
      <c r="Z13" s="106"/>
      <c r="AA13" s="102"/>
      <c r="AB13" s="105"/>
      <c r="AC13" s="107"/>
      <c r="AD13" s="102"/>
      <c r="AE13" s="105"/>
      <c r="AF13" s="107"/>
      <c r="AG13" s="80"/>
      <c r="AH13" s="81"/>
      <c r="AI13" s="191" t="s">
        <v>112</v>
      </c>
      <c r="AJ13" s="192" t="b">
        <f t="shared" si="1"/>
        <v>0</v>
      </c>
      <c r="AK13" s="191" t="s">
        <v>105</v>
      </c>
      <c r="AL13" s="193">
        <v>43922</v>
      </c>
      <c r="AM13" s="194"/>
    </row>
    <row r="14" spans="1:39" s="192" customFormat="1" ht="12.75" x14ac:dyDescent="0.2">
      <c r="A14" s="136" t="s">
        <v>95</v>
      </c>
      <c r="B14" s="99">
        <v>0.05</v>
      </c>
      <c r="C14" s="99">
        <v>0.125</v>
      </c>
      <c r="D14" s="99">
        <v>8.7499999999999994E-2</v>
      </c>
      <c r="E14" s="248"/>
      <c r="F14" s="248"/>
      <c r="G14" s="248"/>
      <c r="H14" s="248" t="s">
        <v>135</v>
      </c>
      <c r="I14" s="100">
        <v>180</v>
      </c>
      <c r="J14" s="100">
        <v>5.0000000000000001E-3</v>
      </c>
      <c r="K14" s="99">
        <v>0.05</v>
      </c>
      <c r="L14" s="247">
        <f t="shared" si="2"/>
        <v>9.9999999999999992E-2</v>
      </c>
      <c r="M14" s="101">
        <v>1.4E-2</v>
      </c>
      <c r="N14" s="102">
        <v>1</v>
      </c>
      <c r="O14" s="103">
        <v>1000000000000</v>
      </c>
      <c r="P14" s="102">
        <v>7.5</v>
      </c>
      <c r="Q14" s="104">
        <v>15</v>
      </c>
      <c r="R14" s="137"/>
      <c r="S14" s="105"/>
      <c r="T14" s="138"/>
      <c r="U14" s="102" t="s">
        <v>57</v>
      </c>
      <c r="V14" s="105" t="s">
        <v>57</v>
      </c>
      <c r="W14" s="106" t="s">
        <v>57</v>
      </c>
      <c r="X14" s="102" t="s">
        <v>57</v>
      </c>
      <c r="Y14" s="105" t="s">
        <v>57</v>
      </c>
      <c r="Z14" s="106" t="s">
        <v>57</v>
      </c>
      <c r="AA14" s="102">
        <v>400</v>
      </c>
      <c r="AB14" s="105">
        <v>2E-3</v>
      </c>
      <c r="AC14" s="107">
        <v>0.4</v>
      </c>
      <c r="AD14" s="139">
        <v>400</v>
      </c>
      <c r="AE14" s="140">
        <v>2E-3</v>
      </c>
      <c r="AF14" s="106">
        <v>1</v>
      </c>
      <c r="AG14" s="80">
        <v>0.312</v>
      </c>
      <c r="AH14" s="81">
        <v>0.46800000000000003</v>
      </c>
      <c r="AI14" s="191">
        <v>11.25</v>
      </c>
      <c r="AJ14" s="192" t="b">
        <f t="shared" si="1"/>
        <v>0</v>
      </c>
      <c r="AK14" s="191" t="s">
        <v>107</v>
      </c>
      <c r="AL14" s="193">
        <v>43924</v>
      </c>
      <c r="AM14" s="194" t="s">
        <v>116</v>
      </c>
    </row>
    <row r="15" spans="1:39" s="192" customFormat="1" ht="12.75" x14ac:dyDescent="0.2">
      <c r="A15" s="108" t="s">
        <v>96</v>
      </c>
      <c r="B15" s="109">
        <v>0</v>
      </c>
      <c r="C15" s="109">
        <v>0.1</v>
      </c>
      <c r="D15" s="109">
        <v>0.05</v>
      </c>
      <c r="E15" s="248"/>
      <c r="F15" s="248"/>
      <c r="G15" s="248"/>
      <c r="H15" s="248" t="s">
        <v>135</v>
      </c>
      <c r="I15" s="110">
        <v>0</v>
      </c>
      <c r="J15" s="110">
        <v>5.0000000000000001E-3</v>
      </c>
      <c r="K15" s="109">
        <v>0.05</v>
      </c>
      <c r="L15" s="247">
        <f t="shared" si="2"/>
        <v>9.9999999999999992E-2</v>
      </c>
      <c r="M15" s="111">
        <v>1.4E-2</v>
      </c>
      <c r="N15" s="112">
        <v>1</v>
      </c>
      <c r="O15" s="113">
        <v>1000000000000</v>
      </c>
      <c r="P15" s="112">
        <v>7.5</v>
      </c>
      <c r="Q15" s="114">
        <v>15</v>
      </c>
      <c r="R15" s="115"/>
      <c r="S15" s="116"/>
      <c r="T15" s="117"/>
      <c r="U15" s="112" t="s">
        <v>120</v>
      </c>
      <c r="V15" s="116" t="s">
        <v>120</v>
      </c>
      <c r="W15" s="118" t="s">
        <v>120</v>
      </c>
      <c r="X15" s="112"/>
      <c r="Y15" s="116"/>
      <c r="Z15" s="118"/>
      <c r="AA15" s="112"/>
      <c r="AB15" s="116"/>
      <c r="AC15" s="119"/>
      <c r="AD15" s="120"/>
      <c r="AE15" s="121"/>
      <c r="AF15" s="118"/>
      <c r="AG15" s="80"/>
      <c r="AH15" s="81"/>
      <c r="AI15" s="191">
        <v>11.25</v>
      </c>
      <c r="AJ15" s="192" t="b">
        <f t="shared" si="1"/>
        <v>0</v>
      </c>
      <c r="AK15" s="191"/>
      <c r="AL15" s="193"/>
      <c r="AM15" s="194" t="s">
        <v>106</v>
      </c>
    </row>
    <row r="16" spans="1:39" s="192" customFormat="1" ht="15" customHeight="1" x14ac:dyDescent="0.2">
      <c r="A16" s="122" t="s">
        <v>43</v>
      </c>
      <c r="B16" s="123">
        <v>0.25</v>
      </c>
      <c r="C16" s="123">
        <v>0.35</v>
      </c>
      <c r="D16" s="123">
        <v>0.3</v>
      </c>
      <c r="E16" s="248"/>
      <c r="F16" s="248"/>
      <c r="G16" s="248"/>
      <c r="H16" s="248" t="s">
        <v>135</v>
      </c>
      <c r="I16" s="124">
        <v>180</v>
      </c>
      <c r="J16" s="124">
        <v>3.0000000000000001E-3</v>
      </c>
      <c r="K16" s="123">
        <v>0.05</v>
      </c>
      <c r="L16" s="247">
        <f t="shared" si="2"/>
        <v>0.06</v>
      </c>
      <c r="M16" s="125">
        <v>0.01</v>
      </c>
      <c r="N16" s="126">
        <v>2</v>
      </c>
      <c r="O16" s="127">
        <v>1000000000000</v>
      </c>
      <c r="P16" s="126">
        <v>14</v>
      </c>
      <c r="Q16" s="128">
        <v>28</v>
      </c>
      <c r="R16" s="129"/>
      <c r="S16" s="130"/>
      <c r="T16" s="131"/>
      <c r="U16" s="126">
        <v>250</v>
      </c>
      <c r="V16" s="130">
        <v>2E-3</v>
      </c>
      <c r="W16" s="132">
        <v>1</v>
      </c>
      <c r="X16" s="126"/>
      <c r="Y16" s="130"/>
      <c r="Z16" s="132"/>
      <c r="AA16" s="126"/>
      <c r="AB16" s="130"/>
      <c r="AC16" s="133"/>
      <c r="AD16" s="134"/>
      <c r="AE16" s="135"/>
      <c r="AF16" s="132"/>
      <c r="AG16" s="80"/>
      <c r="AH16" s="81"/>
      <c r="AI16" s="191">
        <v>21</v>
      </c>
      <c r="AJ16" s="192" t="b">
        <f t="shared" si="1"/>
        <v>0</v>
      </c>
      <c r="AK16" s="191" t="s">
        <v>105</v>
      </c>
      <c r="AL16" s="193">
        <v>43922</v>
      </c>
      <c r="AM16" s="194"/>
    </row>
    <row r="17" spans="1:39" s="192" customFormat="1" ht="12.75" x14ac:dyDescent="0.2">
      <c r="A17" s="122" t="s">
        <v>46</v>
      </c>
      <c r="B17" s="123">
        <v>0</v>
      </c>
      <c r="C17" s="123">
        <v>0.2</v>
      </c>
      <c r="D17" s="123">
        <v>0.1</v>
      </c>
      <c r="E17" s="248"/>
      <c r="F17" s="248"/>
      <c r="G17" s="248"/>
      <c r="H17" s="248" t="s">
        <v>135</v>
      </c>
      <c r="I17" s="124">
        <v>0</v>
      </c>
      <c r="J17" s="124">
        <v>3.0000000000000001E-3</v>
      </c>
      <c r="K17" s="123">
        <v>0.05</v>
      </c>
      <c r="L17" s="247">
        <f t="shared" si="2"/>
        <v>0.06</v>
      </c>
      <c r="M17" s="125">
        <v>1.4E-2</v>
      </c>
      <c r="N17" s="126">
        <v>3</v>
      </c>
      <c r="O17" s="127">
        <v>1000000000000</v>
      </c>
      <c r="P17" s="126">
        <v>17</v>
      </c>
      <c r="Q17" s="128">
        <v>24</v>
      </c>
      <c r="R17" s="129"/>
      <c r="S17" s="130"/>
      <c r="T17" s="131"/>
      <c r="U17" s="126">
        <v>200</v>
      </c>
      <c r="V17" s="130">
        <v>0.01</v>
      </c>
      <c r="W17" s="132">
        <v>1</v>
      </c>
      <c r="X17" s="126"/>
      <c r="Y17" s="130"/>
      <c r="Z17" s="132"/>
      <c r="AA17" s="126"/>
      <c r="AB17" s="130"/>
      <c r="AC17" s="133"/>
      <c r="AD17" s="134"/>
      <c r="AE17" s="135"/>
      <c r="AF17" s="132"/>
      <c r="AG17" s="80">
        <v>0.99</v>
      </c>
      <c r="AH17" s="81">
        <v>1.375</v>
      </c>
      <c r="AI17" s="191">
        <v>20.5</v>
      </c>
      <c r="AJ17" s="192" t="b">
        <f t="shared" si="1"/>
        <v>0</v>
      </c>
      <c r="AK17" s="191" t="s">
        <v>107</v>
      </c>
      <c r="AL17" s="193">
        <v>43916</v>
      </c>
      <c r="AM17" s="194"/>
    </row>
    <row r="18" spans="1:39" s="192" customFormat="1" ht="15" customHeight="1" x14ac:dyDescent="0.2">
      <c r="A18" s="136" t="s">
        <v>93</v>
      </c>
      <c r="B18" s="99">
        <v>0</v>
      </c>
      <c r="C18" s="99">
        <v>0.2</v>
      </c>
      <c r="D18" s="99">
        <v>0.1</v>
      </c>
      <c r="E18" s="248"/>
      <c r="F18" s="248"/>
      <c r="G18" s="248"/>
      <c r="H18" s="248" t="s">
        <v>135</v>
      </c>
      <c r="I18" s="100">
        <v>180</v>
      </c>
      <c r="J18" s="100">
        <v>3.0000000000000001E-3</v>
      </c>
      <c r="K18" s="99">
        <v>0.05</v>
      </c>
      <c r="L18" s="247">
        <f t="shared" si="2"/>
        <v>0.06</v>
      </c>
      <c r="M18" s="101">
        <v>1.4E-2</v>
      </c>
      <c r="N18" s="102">
        <v>3</v>
      </c>
      <c r="O18" s="103">
        <v>1000000000000</v>
      </c>
      <c r="P18" s="102">
        <v>17</v>
      </c>
      <c r="Q18" s="104">
        <v>24</v>
      </c>
      <c r="R18" s="137"/>
      <c r="S18" s="105"/>
      <c r="T18" s="138"/>
      <c r="U18" s="102">
        <v>250</v>
      </c>
      <c r="V18" s="105">
        <v>2E-3</v>
      </c>
      <c r="W18" s="106">
        <v>1</v>
      </c>
      <c r="X18" s="102">
        <v>200</v>
      </c>
      <c r="Y18" s="105">
        <v>2E-3</v>
      </c>
      <c r="Z18" s="106">
        <v>1</v>
      </c>
      <c r="AA18" s="102"/>
      <c r="AB18" s="105"/>
      <c r="AC18" s="107"/>
      <c r="AD18" s="139"/>
      <c r="AE18" s="140"/>
      <c r="AF18" s="106"/>
      <c r="AG18" s="80">
        <v>0.99</v>
      </c>
      <c r="AH18" s="81">
        <v>1.375</v>
      </c>
      <c r="AI18" s="191">
        <v>20.5</v>
      </c>
      <c r="AJ18" s="192" t="b">
        <f t="shared" si="1"/>
        <v>0</v>
      </c>
      <c r="AK18" s="191" t="s">
        <v>107</v>
      </c>
      <c r="AL18" s="193">
        <v>43916</v>
      </c>
      <c r="AM18" s="194"/>
    </row>
    <row r="19" spans="1:39" s="192" customFormat="1" ht="12.75" x14ac:dyDescent="0.2">
      <c r="A19" s="136" t="s">
        <v>2</v>
      </c>
      <c r="B19" s="99">
        <v>0</v>
      </c>
      <c r="C19" s="99">
        <v>5.5E-2</v>
      </c>
      <c r="D19" s="99">
        <v>3.7499999999999999E-2</v>
      </c>
      <c r="E19" s="247">
        <v>0</v>
      </c>
      <c r="F19" s="247">
        <v>0.04</v>
      </c>
      <c r="G19" s="247"/>
      <c r="H19" s="247">
        <v>0.06</v>
      </c>
      <c r="I19" s="100">
        <v>180</v>
      </c>
      <c r="J19" s="100">
        <v>5.0000000000000001E-3</v>
      </c>
      <c r="K19" s="99">
        <v>0.03</v>
      </c>
      <c r="L19" s="247">
        <f t="shared" si="2"/>
        <v>0.16666666666666669</v>
      </c>
      <c r="M19" s="101">
        <v>1.4E-2</v>
      </c>
      <c r="N19" s="102">
        <v>1</v>
      </c>
      <c r="O19" s="103">
        <v>1000000000000</v>
      </c>
      <c r="P19" s="102">
        <v>9</v>
      </c>
      <c r="Q19" s="104">
        <v>15</v>
      </c>
      <c r="R19" s="137"/>
      <c r="S19" s="105"/>
      <c r="T19" s="138"/>
      <c r="U19" s="102">
        <v>500</v>
      </c>
      <c r="V19" s="105">
        <v>2E-3</v>
      </c>
      <c r="W19" s="106">
        <v>0.4</v>
      </c>
      <c r="X19" s="102">
        <v>500</v>
      </c>
      <c r="Y19" s="105">
        <v>2E-3</v>
      </c>
      <c r="Z19" s="106">
        <v>1</v>
      </c>
      <c r="AA19" s="102">
        <v>400</v>
      </c>
      <c r="AB19" s="105">
        <v>2E-3</v>
      </c>
      <c r="AC19" s="107">
        <v>2</v>
      </c>
      <c r="AD19" s="139"/>
      <c r="AE19" s="140"/>
      <c r="AF19" s="106"/>
      <c r="AG19" s="80">
        <v>0.33150000000000002</v>
      </c>
      <c r="AH19" s="81">
        <v>0.44850000000000001</v>
      </c>
      <c r="AI19" s="191">
        <v>12</v>
      </c>
      <c r="AJ19" s="192" t="b">
        <f t="shared" si="1"/>
        <v>0</v>
      </c>
      <c r="AK19" s="191" t="s">
        <v>108</v>
      </c>
      <c r="AL19" s="193">
        <v>43916</v>
      </c>
      <c r="AM19" s="194"/>
    </row>
    <row r="20" spans="1:39" s="192" customFormat="1" ht="12.75" x14ac:dyDescent="0.2">
      <c r="A20" s="173" t="s">
        <v>47</v>
      </c>
      <c r="B20" s="174">
        <v>0</v>
      </c>
      <c r="C20" s="174">
        <v>7.4999999999999997E-2</v>
      </c>
      <c r="D20" s="174">
        <v>3.7499999999999999E-2</v>
      </c>
      <c r="E20" s="248"/>
      <c r="F20" s="248"/>
      <c r="G20" s="248"/>
      <c r="H20" s="248" t="s">
        <v>135</v>
      </c>
      <c r="I20" s="175">
        <v>180</v>
      </c>
      <c r="J20" s="175">
        <v>5.0000000000000001E-3</v>
      </c>
      <c r="K20" s="174">
        <v>0.03</v>
      </c>
      <c r="L20" s="247">
        <f t="shared" si="2"/>
        <v>0.16666666666666669</v>
      </c>
      <c r="M20" s="176">
        <v>1.4E-2</v>
      </c>
      <c r="N20" s="177">
        <v>1</v>
      </c>
      <c r="O20" s="178">
        <v>1000000000000</v>
      </c>
      <c r="P20" s="177">
        <v>7.5</v>
      </c>
      <c r="Q20" s="179">
        <v>12.5</v>
      </c>
      <c r="R20" s="180"/>
      <c r="S20" s="181"/>
      <c r="T20" s="182"/>
      <c r="U20" s="177">
        <v>500</v>
      </c>
      <c r="V20" s="181">
        <v>2E-3</v>
      </c>
      <c r="W20" s="183">
        <v>0.4</v>
      </c>
      <c r="X20" s="177">
        <v>500</v>
      </c>
      <c r="Y20" s="181">
        <v>2E-3</v>
      </c>
      <c r="Z20" s="183">
        <v>1</v>
      </c>
      <c r="AA20" s="177">
        <v>400</v>
      </c>
      <c r="AB20" s="181">
        <v>2E-3</v>
      </c>
      <c r="AC20" s="184">
        <v>2</v>
      </c>
      <c r="AD20" s="185"/>
      <c r="AE20" s="186"/>
      <c r="AF20" s="183"/>
      <c r="AG20" s="80"/>
      <c r="AH20" s="81"/>
      <c r="AI20" s="191">
        <v>10</v>
      </c>
      <c r="AJ20" s="192" t="b">
        <f t="shared" si="1"/>
        <v>0</v>
      </c>
      <c r="AK20" s="191" t="s">
        <v>108</v>
      </c>
      <c r="AL20" s="193">
        <v>43916</v>
      </c>
      <c r="AM20" s="194"/>
    </row>
    <row r="21" spans="1:39" s="192" customFormat="1" ht="12.75" x14ac:dyDescent="0.2">
      <c r="A21" s="136" t="s">
        <v>50</v>
      </c>
      <c r="B21" s="99">
        <v>0</v>
      </c>
      <c r="C21" s="99">
        <v>5.5E-2</v>
      </c>
      <c r="D21" s="99">
        <v>3.7499999999999999E-2</v>
      </c>
      <c r="E21" s="247">
        <v>0</v>
      </c>
      <c r="F21" s="247">
        <v>0.04</v>
      </c>
      <c r="G21" s="247"/>
      <c r="H21" s="247">
        <v>0.06</v>
      </c>
      <c r="I21" s="100">
        <v>0</v>
      </c>
      <c r="J21" s="100">
        <v>5.0000000000000001E-3</v>
      </c>
      <c r="K21" s="99">
        <v>0.03</v>
      </c>
      <c r="L21" s="247">
        <f t="shared" si="2"/>
        <v>0.16666666666666669</v>
      </c>
      <c r="M21" s="101">
        <v>1.4E-2</v>
      </c>
      <c r="N21" s="102">
        <v>1</v>
      </c>
      <c r="O21" s="103">
        <v>1000000000000</v>
      </c>
      <c r="P21" s="102">
        <v>7.5</v>
      </c>
      <c r="Q21" s="104">
        <v>12.5</v>
      </c>
      <c r="R21" s="137"/>
      <c r="S21" s="105"/>
      <c r="T21" s="138"/>
      <c r="U21" s="102">
        <v>500</v>
      </c>
      <c r="V21" s="105">
        <v>2E-3</v>
      </c>
      <c r="W21" s="106">
        <v>1</v>
      </c>
      <c r="X21" s="102">
        <v>300</v>
      </c>
      <c r="Y21" s="105">
        <v>0.01</v>
      </c>
      <c r="Z21" s="106">
        <v>2</v>
      </c>
      <c r="AA21" s="102"/>
      <c r="AB21" s="105"/>
      <c r="AC21" s="107"/>
      <c r="AD21" s="139"/>
      <c r="AE21" s="140"/>
      <c r="AF21" s="106"/>
      <c r="AG21" s="80"/>
      <c r="AH21" s="81"/>
      <c r="AI21" s="191">
        <v>10</v>
      </c>
      <c r="AJ21" s="192" t="b">
        <f t="shared" si="1"/>
        <v>0</v>
      </c>
      <c r="AK21" s="191" t="s">
        <v>108</v>
      </c>
      <c r="AL21" s="193">
        <v>43921</v>
      </c>
      <c r="AM21" s="194"/>
    </row>
    <row r="22" spans="1:39" s="192" customFormat="1" ht="12.75" x14ac:dyDescent="0.2">
      <c r="A22" s="159" t="s">
        <v>48</v>
      </c>
      <c r="B22" s="160">
        <v>0</v>
      </c>
      <c r="C22" s="160">
        <v>0</v>
      </c>
      <c r="D22" s="160">
        <v>0</v>
      </c>
      <c r="E22" s="248"/>
      <c r="F22" s="248"/>
      <c r="G22" s="248"/>
      <c r="H22" s="248" t="s">
        <v>135</v>
      </c>
      <c r="I22" s="161" t="s">
        <v>57</v>
      </c>
      <c r="J22" s="161" t="s">
        <v>57</v>
      </c>
      <c r="K22" s="160" t="s">
        <v>57</v>
      </c>
      <c r="L22" s="247" t="e">
        <f>J22/K22</f>
        <v>#VALUE!</v>
      </c>
      <c r="M22" s="162" t="s">
        <v>57</v>
      </c>
      <c r="N22" s="163">
        <v>0</v>
      </c>
      <c r="O22" s="164">
        <v>1000000000000</v>
      </c>
      <c r="P22" s="163">
        <v>7.5</v>
      </c>
      <c r="Q22" s="165">
        <v>12.5</v>
      </c>
      <c r="R22" s="166"/>
      <c r="S22" s="167"/>
      <c r="T22" s="168"/>
      <c r="U22" s="163">
        <v>0</v>
      </c>
      <c r="V22" s="167">
        <v>0</v>
      </c>
      <c r="W22" s="169">
        <v>0</v>
      </c>
      <c r="X22" s="163"/>
      <c r="Y22" s="167"/>
      <c r="Z22" s="169"/>
      <c r="AA22" s="163"/>
      <c r="AB22" s="167"/>
      <c r="AC22" s="170"/>
      <c r="AD22" s="171"/>
      <c r="AE22" s="172"/>
      <c r="AF22" s="169"/>
      <c r="AG22" s="80"/>
      <c r="AH22" s="81"/>
      <c r="AI22" s="191">
        <v>10</v>
      </c>
      <c r="AJ22" s="192" t="b">
        <f t="shared" si="1"/>
        <v>0</v>
      </c>
      <c r="AK22" s="191" t="s">
        <v>105</v>
      </c>
      <c r="AL22" s="193">
        <v>43922</v>
      </c>
      <c r="AM22" s="194"/>
    </row>
    <row r="23" spans="1:39" s="192" customFormat="1" ht="12.75" x14ac:dyDescent="0.2">
      <c r="A23" s="108" t="s">
        <v>88</v>
      </c>
      <c r="B23" s="109">
        <v>0.15</v>
      </c>
      <c r="C23" s="109">
        <v>0.25</v>
      </c>
      <c r="D23" s="109">
        <v>0.2</v>
      </c>
      <c r="E23" s="248"/>
      <c r="F23" s="248"/>
      <c r="G23" s="248"/>
      <c r="H23" s="248">
        <v>0.25</v>
      </c>
      <c r="I23" s="110">
        <v>0</v>
      </c>
      <c r="J23" s="110">
        <v>1E-3</v>
      </c>
      <c r="K23" s="109">
        <v>3.5000000000000003E-2</v>
      </c>
      <c r="L23" s="247">
        <f t="shared" si="2"/>
        <v>2.8571428571428571E-2</v>
      </c>
      <c r="M23" s="111">
        <v>0.03</v>
      </c>
      <c r="N23" s="112">
        <v>8</v>
      </c>
      <c r="O23" s="113">
        <v>100000000000</v>
      </c>
      <c r="P23" s="112">
        <v>22.5</v>
      </c>
      <c r="Q23" s="114">
        <v>37.5</v>
      </c>
      <c r="R23" s="115"/>
      <c r="S23" s="116"/>
      <c r="T23" s="117"/>
      <c r="U23" s="112">
        <v>55</v>
      </c>
      <c r="V23" s="116">
        <v>2E-3</v>
      </c>
      <c r="W23" s="118">
        <v>1</v>
      </c>
      <c r="X23" s="112"/>
      <c r="Y23" s="116"/>
      <c r="Z23" s="118"/>
      <c r="AA23" s="112"/>
      <c r="AB23" s="116"/>
      <c r="AC23" s="119"/>
      <c r="AD23" s="120"/>
      <c r="AE23" s="121"/>
      <c r="AF23" s="118"/>
      <c r="AG23" s="80">
        <v>5.0999999999999996</v>
      </c>
      <c r="AH23" s="81">
        <v>6.9</v>
      </c>
      <c r="AI23" s="191">
        <v>30</v>
      </c>
      <c r="AJ23" s="192" t="b">
        <f t="shared" si="1"/>
        <v>0</v>
      </c>
      <c r="AK23" s="191" t="s">
        <v>108</v>
      </c>
      <c r="AL23" s="193">
        <v>43921</v>
      </c>
      <c r="AM23" s="194"/>
    </row>
    <row r="24" spans="1:39" s="192" customFormat="1" ht="12.75" x14ac:dyDescent="0.2">
      <c r="A24" s="108" t="s">
        <v>44</v>
      </c>
      <c r="B24" s="109" t="s">
        <v>112</v>
      </c>
      <c r="C24" s="109" t="s">
        <v>112</v>
      </c>
      <c r="D24" s="109" t="e">
        <v>#VALUE!</v>
      </c>
      <c r="E24" s="248"/>
      <c r="F24" s="248"/>
      <c r="G24" s="248"/>
      <c r="H24" s="248" t="s">
        <v>135</v>
      </c>
      <c r="I24" s="110" t="s">
        <v>112</v>
      </c>
      <c r="J24" s="110" t="s">
        <v>57</v>
      </c>
      <c r="K24" s="109" t="s">
        <v>57</v>
      </c>
      <c r="L24" s="247" t="e">
        <f t="shared" si="2"/>
        <v>#VALUE!</v>
      </c>
      <c r="M24" s="111" t="s">
        <v>57</v>
      </c>
      <c r="N24" s="112" t="s">
        <v>57</v>
      </c>
      <c r="O24" s="113">
        <v>1000000000000</v>
      </c>
      <c r="P24" s="112">
        <v>14</v>
      </c>
      <c r="Q24" s="114">
        <v>28</v>
      </c>
      <c r="R24" s="115"/>
      <c r="S24" s="116"/>
      <c r="T24" s="117"/>
      <c r="U24" s="112" t="s">
        <v>112</v>
      </c>
      <c r="V24" s="116" t="s">
        <v>113</v>
      </c>
      <c r="W24" s="118">
        <v>2</v>
      </c>
      <c r="X24" s="112"/>
      <c r="Y24" s="116"/>
      <c r="Z24" s="118"/>
      <c r="AA24" s="112"/>
      <c r="AB24" s="116"/>
      <c r="AC24" s="119"/>
      <c r="AD24" s="120"/>
      <c r="AE24" s="121"/>
      <c r="AF24" s="118"/>
      <c r="AG24" s="80">
        <v>0.88</v>
      </c>
      <c r="AH24" s="81">
        <v>1.32</v>
      </c>
      <c r="AI24" s="191">
        <v>21</v>
      </c>
      <c r="AJ24" s="192" t="b">
        <f t="shared" si="1"/>
        <v>0</v>
      </c>
      <c r="AK24" s="191" t="s">
        <v>107</v>
      </c>
      <c r="AL24" s="193">
        <v>43924</v>
      </c>
      <c r="AM24" s="194" t="s">
        <v>117</v>
      </c>
    </row>
    <row r="25" spans="1:39" s="192" customFormat="1" ht="12.75" x14ac:dyDescent="0.2">
      <c r="A25" s="108" t="s">
        <v>42</v>
      </c>
      <c r="B25" s="109">
        <v>0.2</v>
      </c>
      <c r="C25" s="109">
        <v>0.3</v>
      </c>
      <c r="D25" s="109">
        <v>0.25</v>
      </c>
      <c r="E25" s="248"/>
      <c r="F25" s="248"/>
      <c r="G25" s="248"/>
      <c r="H25" s="248" t="s">
        <v>135</v>
      </c>
      <c r="I25" s="110">
        <v>180</v>
      </c>
      <c r="J25" s="110">
        <v>3.0000000000000001E-3</v>
      </c>
      <c r="K25" s="109">
        <v>0.05</v>
      </c>
      <c r="L25" s="247">
        <f t="shared" si="2"/>
        <v>0.06</v>
      </c>
      <c r="M25" s="111">
        <v>1.4999999999999999E-2</v>
      </c>
      <c r="N25" s="112">
        <v>2</v>
      </c>
      <c r="O25" s="113">
        <v>1000000000000</v>
      </c>
      <c r="P25" s="112">
        <v>15</v>
      </c>
      <c r="Q25" s="114">
        <v>25</v>
      </c>
      <c r="R25" s="115"/>
      <c r="S25" s="116"/>
      <c r="T25" s="117"/>
      <c r="U25" s="112">
        <v>25</v>
      </c>
      <c r="V25" s="116">
        <v>2E-3</v>
      </c>
      <c r="W25" s="118">
        <v>1</v>
      </c>
      <c r="X25" s="112"/>
      <c r="Y25" s="116"/>
      <c r="Z25" s="118"/>
      <c r="AA25" s="112"/>
      <c r="AB25" s="116"/>
      <c r="AC25" s="119"/>
      <c r="AD25" s="120"/>
      <c r="AE25" s="121"/>
      <c r="AF25" s="118"/>
      <c r="AG25" s="80">
        <v>0.88</v>
      </c>
      <c r="AH25" s="81">
        <v>1.32</v>
      </c>
      <c r="AI25" s="191">
        <v>20</v>
      </c>
      <c r="AJ25" s="192" t="b">
        <f t="shared" si="1"/>
        <v>0</v>
      </c>
      <c r="AK25" s="191" t="s">
        <v>107</v>
      </c>
      <c r="AL25" s="193">
        <v>43923</v>
      </c>
      <c r="AM25" s="194"/>
    </row>
    <row r="26" spans="1:39" s="192" customFormat="1" ht="12.75" x14ac:dyDescent="0.2">
      <c r="A26" s="136" t="s">
        <v>89</v>
      </c>
      <c r="B26" s="99">
        <v>0.85</v>
      </c>
      <c r="C26" s="99">
        <v>0.95</v>
      </c>
      <c r="D26" s="99">
        <v>0.89999999999999991</v>
      </c>
      <c r="E26" s="248"/>
      <c r="F26" s="248"/>
      <c r="G26" s="248"/>
      <c r="H26" s="248" t="s">
        <v>135</v>
      </c>
      <c r="I26" s="100">
        <v>180</v>
      </c>
      <c r="J26" s="100">
        <v>3.0000000000000001E-3</v>
      </c>
      <c r="K26" s="99">
        <v>0.05</v>
      </c>
      <c r="L26" s="247">
        <f t="shared" si="2"/>
        <v>0.06</v>
      </c>
      <c r="M26" s="101">
        <v>0.03</v>
      </c>
      <c r="N26" s="102">
        <v>2</v>
      </c>
      <c r="O26" s="103">
        <v>1000000000000</v>
      </c>
      <c r="P26" s="102">
        <v>15</v>
      </c>
      <c r="Q26" s="104">
        <v>25</v>
      </c>
      <c r="R26" s="137"/>
      <c r="S26" s="105"/>
      <c r="T26" s="187"/>
      <c r="U26" s="102">
        <v>28</v>
      </c>
      <c r="V26" s="105">
        <v>2E-3</v>
      </c>
      <c r="W26" s="106">
        <v>2</v>
      </c>
      <c r="X26" s="102"/>
      <c r="Y26" s="105"/>
      <c r="Z26" s="106"/>
      <c r="AA26" s="102"/>
      <c r="AB26" s="105"/>
      <c r="AC26" s="107"/>
      <c r="AD26" s="139"/>
      <c r="AE26" s="140"/>
      <c r="AF26" s="106"/>
      <c r="AG26" s="80">
        <v>0.88</v>
      </c>
      <c r="AH26" s="81">
        <v>1.32</v>
      </c>
      <c r="AI26" s="191">
        <v>20</v>
      </c>
      <c r="AJ26" s="192" t="b">
        <f t="shared" si="1"/>
        <v>0</v>
      </c>
      <c r="AK26" s="191" t="s">
        <v>107</v>
      </c>
      <c r="AL26" s="193">
        <v>43923</v>
      </c>
      <c r="AM26" s="194"/>
    </row>
    <row r="27" spans="1:39" s="192" customFormat="1" ht="12.75" x14ac:dyDescent="0.2">
      <c r="A27" s="108" t="s">
        <v>49</v>
      </c>
      <c r="B27" s="109">
        <v>0</v>
      </c>
      <c r="C27" s="109">
        <v>7.4999999999999997E-2</v>
      </c>
      <c r="D27" s="109">
        <v>3.7499999999999999E-2</v>
      </c>
      <c r="E27" s="248"/>
      <c r="F27" s="248"/>
      <c r="G27" s="248"/>
      <c r="H27" s="248" t="s">
        <v>135</v>
      </c>
      <c r="I27" s="110">
        <v>180</v>
      </c>
      <c r="J27" s="110">
        <v>5.0000000000000001E-3</v>
      </c>
      <c r="K27" s="109" t="e">
        <f>J22/K22+K25:L26</f>
        <v>#VALUE!</v>
      </c>
      <c r="L27" s="247" t="e">
        <f t="shared" si="2"/>
        <v>#VALUE!</v>
      </c>
      <c r="M27" s="111">
        <v>1.4E-2</v>
      </c>
      <c r="N27" s="112">
        <v>1</v>
      </c>
      <c r="O27" s="113">
        <v>1000000000000</v>
      </c>
      <c r="P27" s="112">
        <v>7.5</v>
      </c>
      <c r="Q27" s="114">
        <v>12.5</v>
      </c>
      <c r="R27" s="115"/>
      <c r="S27" s="116"/>
      <c r="T27" s="188"/>
      <c r="U27" s="112">
        <v>500</v>
      </c>
      <c r="V27" s="116">
        <v>2E-3</v>
      </c>
      <c r="W27" s="118">
        <v>0.4</v>
      </c>
      <c r="X27" s="112"/>
      <c r="Y27" s="116"/>
      <c r="Z27" s="118"/>
      <c r="AA27" s="112"/>
      <c r="AB27" s="116"/>
      <c r="AC27" s="119"/>
      <c r="AD27" s="120"/>
      <c r="AE27" s="121"/>
      <c r="AF27" s="118"/>
      <c r="AG27" s="80"/>
      <c r="AH27" s="81"/>
      <c r="AI27" s="191">
        <v>10</v>
      </c>
      <c r="AJ27" s="192" t="b">
        <f t="shared" si="1"/>
        <v>0</v>
      </c>
      <c r="AK27" s="191" t="s">
        <v>108</v>
      </c>
      <c r="AL27" s="193">
        <v>43921</v>
      </c>
      <c r="AM27" s="194"/>
    </row>
    <row r="28" spans="1:39" s="192" customFormat="1" ht="12.75" x14ac:dyDescent="0.2">
      <c r="A28" s="108" t="s">
        <v>90</v>
      </c>
      <c r="B28" s="109">
        <v>0.09</v>
      </c>
      <c r="C28" s="109">
        <v>0.155</v>
      </c>
      <c r="D28" s="109">
        <v>0.1225</v>
      </c>
      <c r="E28" s="248"/>
      <c r="F28" s="248"/>
      <c r="G28" s="248"/>
      <c r="H28" s="248" t="s">
        <v>135</v>
      </c>
      <c r="I28" s="110">
        <v>180</v>
      </c>
      <c r="J28" s="110">
        <v>3.0000000000000001E-3</v>
      </c>
      <c r="K28" s="109">
        <v>0.05</v>
      </c>
      <c r="L28" s="247">
        <f t="shared" si="2"/>
        <v>0.06</v>
      </c>
      <c r="M28" s="111">
        <v>1.4E-2</v>
      </c>
      <c r="N28" s="112">
        <v>2</v>
      </c>
      <c r="O28" s="113">
        <v>1000000000000</v>
      </c>
      <c r="P28" s="112">
        <v>13.5</v>
      </c>
      <c r="Q28" s="114">
        <v>22.5</v>
      </c>
      <c r="R28" s="115"/>
      <c r="S28" s="116"/>
      <c r="T28" s="188"/>
      <c r="U28" s="112">
        <v>250</v>
      </c>
      <c r="V28" s="116">
        <v>2E-3</v>
      </c>
      <c r="W28" s="118">
        <v>1</v>
      </c>
      <c r="X28" s="112"/>
      <c r="Y28" s="116"/>
      <c r="Z28" s="118"/>
      <c r="AA28" s="112"/>
      <c r="AB28" s="116"/>
      <c r="AC28" s="119"/>
      <c r="AD28" s="120"/>
      <c r="AE28" s="121"/>
      <c r="AF28" s="118"/>
      <c r="AG28" s="80"/>
      <c r="AH28" s="81"/>
      <c r="AI28" s="191">
        <v>18</v>
      </c>
      <c r="AJ28" s="192" t="b">
        <f t="shared" si="1"/>
        <v>0</v>
      </c>
      <c r="AK28" s="191" t="s">
        <v>108</v>
      </c>
      <c r="AL28" s="193">
        <v>43925</v>
      </c>
      <c r="AM28" s="194" t="s">
        <v>118</v>
      </c>
    </row>
    <row r="29" spans="1:39" s="192" customFormat="1" ht="15" customHeight="1" x14ac:dyDescent="0.2">
      <c r="A29" s="159" t="s">
        <v>91</v>
      </c>
      <c r="B29" s="160">
        <v>0.25</v>
      </c>
      <c r="C29" s="160">
        <v>0.35</v>
      </c>
      <c r="D29" s="160">
        <v>0.3</v>
      </c>
      <c r="E29" s="248"/>
      <c r="F29" s="248"/>
      <c r="G29" s="248"/>
      <c r="H29" s="248" t="s">
        <v>135</v>
      </c>
      <c r="I29" s="161">
        <v>180</v>
      </c>
      <c r="J29" s="161">
        <v>3.0000000000000001E-3</v>
      </c>
      <c r="K29" s="160">
        <v>0.05</v>
      </c>
      <c r="L29" s="247">
        <f t="shared" si="2"/>
        <v>0.06</v>
      </c>
      <c r="M29" s="162">
        <v>1.4E-2</v>
      </c>
      <c r="N29" s="163">
        <v>2</v>
      </c>
      <c r="O29" s="164">
        <v>1000000000000</v>
      </c>
      <c r="P29" s="163">
        <v>13.5</v>
      </c>
      <c r="Q29" s="165">
        <v>22.5</v>
      </c>
      <c r="R29" s="166"/>
      <c r="S29" s="167"/>
      <c r="T29" s="168"/>
      <c r="U29" s="163">
        <v>250</v>
      </c>
      <c r="V29" s="167">
        <v>2E-3</v>
      </c>
      <c r="W29" s="169">
        <v>1</v>
      </c>
      <c r="X29" s="163"/>
      <c r="Y29" s="167"/>
      <c r="Z29" s="169"/>
      <c r="AA29" s="163"/>
      <c r="AB29" s="167"/>
      <c r="AC29" s="170"/>
      <c r="AD29" s="171"/>
      <c r="AE29" s="172"/>
      <c r="AF29" s="169"/>
      <c r="AG29" s="80"/>
      <c r="AH29" s="81"/>
      <c r="AI29" s="191">
        <v>18</v>
      </c>
      <c r="AJ29" s="192" t="b">
        <f t="shared" si="1"/>
        <v>0</v>
      </c>
      <c r="AK29" s="191" t="s">
        <v>108</v>
      </c>
      <c r="AL29" s="193">
        <v>43925</v>
      </c>
      <c r="AM29" s="194" t="s">
        <v>119</v>
      </c>
    </row>
    <row r="30" spans="1:39" s="192" customFormat="1" ht="15" customHeight="1" x14ac:dyDescent="0.2">
      <c r="A30" s="122" t="s">
        <v>87</v>
      </c>
      <c r="B30" s="123">
        <v>0.5</v>
      </c>
      <c r="C30" s="123">
        <v>0.75</v>
      </c>
      <c r="D30" s="123">
        <v>0.625</v>
      </c>
      <c r="E30" s="248"/>
      <c r="F30" s="248"/>
      <c r="G30" s="248"/>
      <c r="H30" s="248" t="s">
        <v>135</v>
      </c>
      <c r="I30" s="124">
        <v>180</v>
      </c>
      <c r="J30" s="124">
        <v>1E-3</v>
      </c>
      <c r="K30" s="123">
        <v>0.05</v>
      </c>
      <c r="L30" s="247">
        <f t="shared" si="2"/>
        <v>0.02</v>
      </c>
      <c r="M30" s="125">
        <v>0.02</v>
      </c>
      <c r="N30" s="126">
        <v>20</v>
      </c>
      <c r="O30" s="127">
        <v>1000000000000</v>
      </c>
      <c r="P30" s="126">
        <v>19.5</v>
      </c>
      <c r="Q30" s="128">
        <v>32.5</v>
      </c>
      <c r="R30" s="129"/>
      <c r="S30" s="130"/>
      <c r="T30" s="131"/>
      <c r="U30" s="126" t="s">
        <v>112</v>
      </c>
      <c r="V30" s="130">
        <v>1</v>
      </c>
      <c r="W30" s="132" t="s">
        <v>113</v>
      </c>
      <c r="X30" s="126"/>
      <c r="Y30" s="130"/>
      <c r="Z30" s="132"/>
      <c r="AA30" s="126"/>
      <c r="AB30" s="130"/>
      <c r="AC30" s="133"/>
      <c r="AD30" s="134"/>
      <c r="AE30" s="135"/>
      <c r="AF30" s="132"/>
      <c r="AG30" s="80" t="s">
        <v>112</v>
      </c>
      <c r="AH30" s="81" t="s">
        <v>112</v>
      </c>
      <c r="AI30" s="191">
        <v>26</v>
      </c>
      <c r="AJ30" s="192" t="b">
        <f t="shared" si="1"/>
        <v>0</v>
      </c>
      <c r="AK30" s="191" t="s">
        <v>105</v>
      </c>
      <c r="AL30" s="193">
        <v>43922</v>
      </c>
      <c r="AM30" s="194"/>
    </row>
    <row r="31" spans="1:39" s="192" customFormat="1" ht="12.75" x14ac:dyDescent="0.2">
      <c r="A31" s="122" t="s">
        <v>10</v>
      </c>
      <c r="B31" s="123">
        <v>0.2</v>
      </c>
      <c r="C31" s="123">
        <v>0.3</v>
      </c>
      <c r="D31" s="123">
        <v>0.25</v>
      </c>
      <c r="E31" s="248"/>
      <c r="F31" s="248"/>
      <c r="G31" s="248"/>
      <c r="H31" s="248" t="s">
        <v>135</v>
      </c>
      <c r="I31" s="124">
        <v>0</v>
      </c>
      <c r="J31" s="124">
        <v>3.0000000000000001E-3</v>
      </c>
      <c r="K31" s="123">
        <v>0.05</v>
      </c>
      <c r="L31" s="247">
        <f t="shared" si="2"/>
        <v>0.06</v>
      </c>
      <c r="M31" s="125">
        <v>1.4E-2</v>
      </c>
      <c r="N31" s="126">
        <v>3</v>
      </c>
      <c r="O31" s="127">
        <v>1000000000000</v>
      </c>
      <c r="P31" s="126">
        <v>17</v>
      </c>
      <c r="Q31" s="128">
        <v>24</v>
      </c>
      <c r="R31" s="129"/>
      <c r="S31" s="130"/>
      <c r="T31" s="131"/>
      <c r="U31" s="126">
        <v>200</v>
      </c>
      <c r="V31" s="130">
        <v>3.0000000000000001E-3</v>
      </c>
      <c r="W31" s="132">
        <v>1</v>
      </c>
      <c r="X31" s="126"/>
      <c r="Y31" s="130"/>
      <c r="Z31" s="132"/>
      <c r="AA31" s="126"/>
      <c r="AB31" s="130"/>
      <c r="AC31" s="133"/>
      <c r="AD31" s="134"/>
      <c r="AE31" s="135"/>
      <c r="AF31" s="132"/>
      <c r="AG31" s="80">
        <v>0.93500000000000005</v>
      </c>
      <c r="AH31" s="81">
        <v>1.2649999999999999</v>
      </c>
      <c r="AI31" s="191">
        <v>20.5</v>
      </c>
      <c r="AJ31" s="192" t="b">
        <f t="shared" si="1"/>
        <v>0</v>
      </c>
      <c r="AK31" s="191" t="s">
        <v>107</v>
      </c>
      <c r="AL31" s="193">
        <v>43916</v>
      </c>
      <c r="AM31" s="194"/>
    </row>
    <row r="32" spans="1:39" s="192" customFormat="1" ht="12.75" x14ac:dyDescent="0.2">
      <c r="A32" s="195" t="s">
        <v>94</v>
      </c>
      <c r="B32" s="195"/>
      <c r="C32" s="195"/>
      <c r="D32" s="195">
        <v>0</v>
      </c>
      <c r="E32" s="248"/>
      <c r="F32" s="248"/>
      <c r="G32" s="248"/>
      <c r="H32" s="248" t="s">
        <v>135</v>
      </c>
      <c r="I32" s="195"/>
      <c r="J32" s="195">
        <v>3.0000000000000001E-3</v>
      </c>
      <c r="K32" s="195">
        <v>0.05</v>
      </c>
      <c r="L32" s="247">
        <f t="shared" si="2"/>
        <v>0.06</v>
      </c>
      <c r="M32" s="196">
        <v>1.4E-2</v>
      </c>
      <c r="N32" s="197">
        <v>3</v>
      </c>
      <c r="O32" s="198">
        <v>1000000000000</v>
      </c>
      <c r="P32" s="197">
        <v>17</v>
      </c>
      <c r="Q32" s="199">
        <v>24</v>
      </c>
      <c r="R32" s="200"/>
      <c r="S32" s="201"/>
      <c r="T32" s="198"/>
      <c r="U32" s="197">
        <v>200</v>
      </c>
      <c r="V32" s="201">
        <v>3.0000000000000001E-3</v>
      </c>
      <c r="W32" s="202">
        <v>1</v>
      </c>
      <c r="X32" s="197"/>
      <c r="Y32" s="201"/>
      <c r="Z32" s="202"/>
      <c r="AA32" s="197"/>
      <c r="AB32" s="201"/>
      <c r="AC32" s="203"/>
      <c r="AD32" s="204"/>
      <c r="AE32" s="205"/>
      <c r="AF32" s="202"/>
      <c r="AG32" s="80"/>
      <c r="AH32" s="81"/>
      <c r="AI32" s="191">
        <v>20.5</v>
      </c>
      <c r="AJ32" s="192" t="b">
        <f t="shared" si="1"/>
        <v>0</v>
      </c>
      <c r="AK32" s="191" t="s">
        <v>107</v>
      </c>
      <c r="AL32" s="193">
        <v>43916</v>
      </c>
      <c r="AM32" s="194"/>
    </row>
    <row r="33" spans="1:39" s="192" customFormat="1" ht="12.75" x14ac:dyDescent="0.2">
      <c r="A33" s="195"/>
      <c r="B33" s="195"/>
      <c r="C33" s="195"/>
      <c r="D33" s="195"/>
      <c r="E33" s="248"/>
      <c r="F33" s="248"/>
      <c r="G33" s="248"/>
      <c r="H33" s="248"/>
      <c r="I33" s="195"/>
      <c r="J33" s="195"/>
      <c r="K33" s="195"/>
      <c r="L33" s="247" t="e">
        <f t="shared" si="2"/>
        <v>#DIV/0!</v>
      </c>
      <c r="M33" s="196"/>
      <c r="N33" s="197"/>
      <c r="O33" s="198"/>
      <c r="P33" s="197"/>
      <c r="Q33" s="199"/>
      <c r="R33" s="200"/>
      <c r="S33" s="201"/>
      <c r="T33" s="198"/>
      <c r="U33" s="197"/>
      <c r="V33" s="201"/>
      <c r="W33" s="202"/>
      <c r="X33" s="197"/>
      <c r="Y33" s="201"/>
      <c r="Z33" s="202"/>
      <c r="AA33" s="197"/>
      <c r="AB33" s="201"/>
      <c r="AC33" s="203"/>
      <c r="AD33" s="204"/>
      <c r="AE33" s="205"/>
      <c r="AF33" s="202"/>
      <c r="AG33" s="80"/>
      <c r="AH33" s="81"/>
      <c r="AI33" s="206" t="str">
        <f t="shared" ref="AI33:AI70" si="3">IF(TRUE=OR(P33="",Q33=""),"",AVERAGE(P33:Q33))</f>
        <v/>
      </c>
      <c r="AJ33" s="192" t="b">
        <f t="shared" si="1"/>
        <v>1</v>
      </c>
      <c r="AK33" s="191"/>
      <c r="AL33" s="193"/>
      <c r="AM33" s="194"/>
    </row>
    <row r="34" spans="1:39" s="192" customFormat="1" ht="12.75" x14ac:dyDescent="0.2">
      <c r="A34" s="195"/>
      <c r="B34" s="195"/>
      <c r="C34" s="195"/>
      <c r="D34" s="195"/>
      <c r="E34" s="248"/>
      <c r="F34" s="248"/>
      <c r="G34" s="248"/>
      <c r="H34" s="248"/>
      <c r="I34" s="195"/>
      <c r="J34" s="195"/>
      <c r="K34" s="195"/>
      <c r="L34" s="247" t="e">
        <f t="shared" si="2"/>
        <v>#DIV/0!</v>
      </c>
      <c r="M34" s="196"/>
      <c r="N34" s="197"/>
      <c r="O34" s="198"/>
      <c r="P34" s="197"/>
      <c r="Q34" s="199"/>
      <c r="R34" s="200"/>
      <c r="S34" s="201"/>
      <c r="T34" s="198"/>
      <c r="U34" s="197"/>
      <c r="V34" s="201"/>
      <c r="W34" s="202"/>
      <c r="X34" s="197"/>
      <c r="Y34" s="201"/>
      <c r="Z34" s="202"/>
      <c r="AA34" s="197"/>
      <c r="AB34" s="201"/>
      <c r="AC34" s="203"/>
      <c r="AD34" s="204"/>
      <c r="AE34" s="205"/>
      <c r="AF34" s="202"/>
      <c r="AG34" s="80"/>
      <c r="AH34" s="81"/>
      <c r="AI34" s="206" t="str">
        <f t="shared" si="3"/>
        <v/>
      </c>
      <c r="AJ34" s="192" t="b">
        <f t="shared" si="1"/>
        <v>1</v>
      </c>
      <c r="AK34" s="191"/>
      <c r="AL34" s="193"/>
      <c r="AM34" s="194"/>
    </row>
    <row r="35" spans="1:39" s="192" customFormat="1" ht="12.75" x14ac:dyDescent="0.2">
      <c r="A35" s="195"/>
      <c r="B35" s="195"/>
      <c r="C35" s="195"/>
      <c r="D35" s="195"/>
      <c r="E35" s="248"/>
      <c r="F35" s="248"/>
      <c r="G35" s="248"/>
      <c r="H35" s="248"/>
      <c r="I35" s="195"/>
      <c r="J35" s="195"/>
      <c r="K35" s="195"/>
      <c r="L35" s="247" t="e">
        <f t="shared" si="2"/>
        <v>#DIV/0!</v>
      </c>
      <c r="M35" s="196"/>
      <c r="N35" s="197"/>
      <c r="O35" s="198"/>
      <c r="P35" s="197"/>
      <c r="Q35" s="199"/>
      <c r="R35" s="200"/>
      <c r="S35" s="201"/>
      <c r="T35" s="198"/>
      <c r="U35" s="197"/>
      <c r="V35" s="201"/>
      <c r="W35" s="202"/>
      <c r="X35" s="197"/>
      <c r="Y35" s="201"/>
      <c r="Z35" s="202"/>
      <c r="AA35" s="197"/>
      <c r="AB35" s="201"/>
      <c r="AC35" s="203"/>
      <c r="AD35" s="204"/>
      <c r="AE35" s="205"/>
      <c r="AF35" s="202"/>
      <c r="AG35" s="80"/>
      <c r="AH35" s="81"/>
      <c r="AI35" s="206" t="str">
        <f t="shared" si="3"/>
        <v/>
      </c>
      <c r="AJ35" s="192" t="b">
        <f t="shared" si="1"/>
        <v>1</v>
      </c>
      <c r="AK35" s="191"/>
      <c r="AL35" s="193"/>
      <c r="AM35" s="194"/>
    </row>
    <row r="36" spans="1:39" s="192" customFormat="1" ht="12.75" x14ac:dyDescent="0.2">
      <c r="A36" s="195"/>
      <c r="B36" s="195"/>
      <c r="C36" s="195"/>
      <c r="D36" s="195"/>
      <c r="E36" s="248"/>
      <c r="F36" s="248"/>
      <c r="G36" s="248"/>
      <c r="H36" s="248"/>
      <c r="I36" s="195"/>
      <c r="J36" s="195"/>
      <c r="K36" s="195"/>
      <c r="L36" s="247" t="e">
        <f t="shared" si="2"/>
        <v>#DIV/0!</v>
      </c>
      <c r="M36" s="196"/>
      <c r="N36" s="197"/>
      <c r="O36" s="198"/>
      <c r="P36" s="197"/>
      <c r="Q36" s="199"/>
      <c r="R36" s="200"/>
      <c r="S36" s="201"/>
      <c r="T36" s="198"/>
      <c r="U36" s="197"/>
      <c r="V36" s="201"/>
      <c r="W36" s="202"/>
      <c r="X36" s="197"/>
      <c r="Y36" s="201"/>
      <c r="Z36" s="202"/>
      <c r="AA36" s="197"/>
      <c r="AB36" s="201"/>
      <c r="AC36" s="203"/>
      <c r="AD36" s="204"/>
      <c r="AE36" s="205"/>
      <c r="AF36" s="202"/>
      <c r="AG36" s="80"/>
      <c r="AH36" s="81"/>
      <c r="AI36" s="206" t="str">
        <f t="shared" si="3"/>
        <v/>
      </c>
      <c r="AJ36" s="192" t="b">
        <f t="shared" si="1"/>
        <v>1</v>
      </c>
      <c r="AK36" s="191"/>
      <c r="AL36" s="193"/>
      <c r="AM36" s="194"/>
    </row>
    <row r="37" spans="1:39" s="192" customFormat="1" ht="12.75" x14ac:dyDescent="0.2">
      <c r="A37" s="195"/>
      <c r="B37" s="195"/>
      <c r="C37" s="195"/>
      <c r="D37" s="195"/>
      <c r="E37" s="248"/>
      <c r="F37" s="248"/>
      <c r="G37" s="248"/>
      <c r="H37" s="248"/>
      <c r="I37" s="195"/>
      <c r="J37" s="195"/>
      <c r="K37" s="195"/>
      <c r="L37" s="247" t="e">
        <f t="shared" si="2"/>
        <v>#DIV/0!</v>
      </c>
      <c r="M37" s="196"/>
      <c r="N37" s="197"/>
      <c r="O37" s="198"/>
      <c r="P37" s="197"/>
      <c r="Q37" s="199"/>
      <c r="R37" s="200"/>
      <c r="S37" s="201"/>
      <c r="T37" s="198"/>
      <c r="U37" s="197"/>
      <c r="V37" s="201"/>
      <c r="W37" s="202"/>
      <c r="X37" s="197"/>
      <c r="Y37" s="201"/>
      <c r="Z37" s="202"/>
      <c r="AA37" s="197"/>
      <c r="AB37" s="201"/>
      <c r="AC37" s="203"/>
      <c r="AD37" s="204"/>
      <c r="AE37" s="205"/>
      <c r="AF37" s="202"/>
      <c r="AG37" s="80"/>
      <c r="AH37" s="81"/>
      <c r="AI37" s="206" t="str">
        <f t="shared" si="3"/>
        <v/>
      </c>
      <c r="AJ37" s="192" t="b">
        <f t="shared" si="1"/>
        <v>1</v>
      </c>
      <c r="AK37" s="191"/>
      <c r="AL37" s="193"/>
      <c r="AM37" s="194"/>
    </row>
    <row r="38" spans="1:39" s="192" customFormat="1" ht="12.75" x14ac:dyDescent="0.2">
      <c r="A38" s="195"/>
      <c r="B38" s="195"/>
      <c r="C38" s="195"/>
      <c r="D38" s="195"/>
      <c r="E38" s="248"/>
      <c r="F38" s="248"/>
      <c r="G38" s="248"/>
      <c r="H38" s="248"/>
      <c r="I38" s="195"/>
      <c r="J38" s="195"/>
      <c r="K38" s="195"/>
      <c r="L38" s="247" t="e">
        <f t="shared" si="2"/>
        <v>#DIV/0!</v>
      </c>
      <c r="M38" s="196"/>
      <c r="N38" s="197"/>
      <c r="O38" s="198"/>
      <c r="P38" s="197"/>
      <c r="Q38" s="199"/>
      <c r="R38" s="200"/>
      <c r="S38" s="201"/>
      <c r="T38" s="198"/>
      <c r="U38" s="197"/>
      <c r="V38" s="201"/>
      <c r="W38" s="202"/>
      <c r="X38" s="197"/>
      <c r="Y38" s="201"/>
      <c r="Z38" s="202"/>
      <c r="AA38" s="197"/>
      <c r="AB38" s="201"/>
      <c r="AC38" s="203"/>
      <c r="AD38" s="204"/>
      <c r="AE38" s="205"/>
      <c r="AF38" s="202"/>
      <c r="AG38" s="80"/>
      <c r="AH38" s="81"/>
      <c r="AI38" s="206" t="str">
        <f t="shared" si="3"/>
        <v/>
      </c>
      <c r="AJ38" s="192" t="b">
        <f t="shared" ref="AJ38:AJ69" si="4">OR(N38="",O38="",P38="",Q38="",U38="",V38="",W38="")</f>
        <v>1</v>
      </c>
      <c r="AK38" s="191"/>
      <c r="AL38" s="193"/>
      <c r="AM38" s="194"/>
    </row>
    <row r="39" spans="1:39" s="192" customFormat="1" ht="12.75" x14ac:dyDescent="0.2">
      <c r="A39" s="195"/>
      <c r="B39" s="195"/>
      <c r="C39" s="195"/>
      <c r="D39" s="195"/>
      <c r="E39" s="248"/>
      <c r="F39" s="248"/>
      <c r="G39" s="248"/>
      <c r="H39" s="248"/>
      <c r="I39" s="195"/>
      <c r="J39" s="195"/>
      <c r="K39" s="195"/>
      <c r="L39" s="247" t="e">
        <f t="shared" si="2"/>
        <v>#DIV/0!</v>
      </c>
      <c r="M39" s="196"/>
      <c r="N39" s="197"/>
      <c r="O39" s="198"/>
      <c r="P39" s="197"/>
      <c r="Q39" s="199"/>
      <c r="R39" s="200"/>
      <c r="S39" s="201"/>
      <c r="T39" s="198"/>
      <c r="U39" s="197"/>
      <c r="V39" s="201"/>
      <c r="W39" s="202"/>
      <c r="X39" s="197"/>
      <c r="Y39" s="201"/>
      <c r="Z39" s="202"/>
      <c r="AA39" s="197"/>
      <c r="AB39" s="201"/>
      <c r="AC39" s="203"/>
      <c r="AD39" s="204"/>
      <c r="AE39" s="205"/>
      <c r="AF39" s="202"/>
      <c r="AG39" s="80"/>
      <c r="AH39" s="81"/>
      <c r="AI39" s="206" t="str">
        <f t="shared" si="3"/>
        <v/>
      </c>
      <c r="AJ39" s="192" t="b">
        <f t="shared" si="4"/>
        <v>1</v>
      </c>
      <c r="AK39" s="191"/>
      <c r="AL39" s="193"/>
      <c r="AM39" s="194"/>
    </row>
    <row r="40" spans="1:39" s="192" customFormat="1" ht="12.75" x14ac:dyDescent="0.2">
      <c r="A40" s="195"/>
      <c r="B40" s="195"/>
      <c r="C40" s="195"/>
      <c r="D40" s="195"/>
      <c r="E40" s="248"/>
      <c r="F40" s="248"/>
      <c r="G40" s="248"/>
      <c r="H40" s="248"/>
      <c r="I40" s="195"/>
      <c r="J40" s="195"/>
      <c r="K40" s="195"/>
      <c r="L40" s="247" t="e">
        <f t="shared" si="2"/>
        <v>#DIV/0!</v>
      </c>
      <c r="M40" s="196"/>
      <c r="N40" s="197"/>
      <c r="O40" s="198"/>
      <c r="P40" s="197"/>
      <c r="Q40" s="199"/>
      <c r="R40" s="200"/>
      <c r="S40" s="201"/>
      <c r="T40" s="198"/>
      <c r="U40" s="197"/>
      <c r="V40" s="201"/>
      <c r="W40" s="202"/>
      <c r="X40" s="197"/>
      <c r="Y40" s="201"/>
      <c r="Z40" s="202"/>
      <c r="AA40" s="197"/>
      <c r="AB40" s="201"/>
      <c r="AC40" s="203"/>
      <c r="AD40" s="204"/>
      <c r="AE40" s="205"/>
      <c r="AF40" s="202"/>
      <c r="AG40" s="80"/>
      <c r="AH40" s="81"/>
      <c r="AI40" s="206" t="str">
        <f t="shared" si="3"/>
        <v/>
      </c>
      <c r="AJ40" s="192" t="b">
        <f t="shared" si="4"/>
        <v>1</v>
      </c>
      <c r="AK40" s="191"/>
      <c r="AL40" s="193"/>
      <c r="AM40" s="194"/>
    </row>
    <row r="41" spans="1:39" s="192" customFormat="1" ht="12.75" x14ac:dyDescent="0.2">
      <c r="A41" s="195"/>
      <c r="B41" s="195"/>
      <c r="C41" s="195"/>
      <c r="D41" s="195"/>
      <c r="E41" s="248"/>
      <c r="F41" s="248"/>
      <c r="G41" s="248"/>
      <c r="H41" s="248"/>
      <c r="I41" s="195"/>
      <c r="J41" s="195"/>
      <c r="K41" s="195"/>
      <c r="L41" s="247" t="e">
        <f t="shared" si="2"/>
        <v>#DIV/0!</v>
      </c>
      <c r="M41" s="196"/>
      <c r="N41" s="197"/>
      <c r="O41" s="198"/>
      <c r="P41" s="197"/>
      <c r="Q41" s="199"/>
      <c r="R41" s="200"/>
      <c r="S41" s="201"/>
      <c r="T41" s="198"/>
      <c r="U41" s="197"/>
      <c r="V41" s="201"/>
      <c r="W41" s="202"/>
      <c r="X41" s="197"/>
      <c r="Y41" s="201"/>
      <c r="Z41" s="202"/>
      <c r="AA41" s="197"/>
      <c r="AB41" s="201"/>
      <c r="AC41" s="203"/>
      <c r="AD41" s="204"/>
      <c r="AE41" s="205"/>
      <c r="AF41" s="202"/>
      <c r="AG41" s="80"/>
      <c r="AH41" s="81"/>
      <c r="AI41" s="206" t="str">
        <f t="shared" si="3"/>
        <v/>
      </c>
      <c r="AJ41" s="192" t="b">
        <f t="shared" si="4"/>
        <v>1</v>
      </c>
      <c r="AK41" s="191"/>
      <c r="AL41" s="193"/>
      <c r="AM41" s="194"/>
    </row>
    <row r="42" spans="1:39" s="192" customFormat="1" ht="12.75" x14ac:dyDescent="0.2">
      <c r="A42" s="195"/>
      <c r="B42" s="195"/>
      <c r="C42" s="195"/>
      <c r="D42" s="195"/>
      <c r="E42" s="248"/>
      <c r="F42" s="248"/>
      <c r="G42" s="248"/>
      <c r="H42" s="248"/>
      <c r="I42" s="195"/>
      <c r="J42" s="195"/>
      <c r="K42" s="195"/>
      <c r="L42" s="247" t="e">
        <f t="shared" si="2"/>
        <v>#DIV/0!</v>
      </c>
      <c r="M42" s="196"/>
      <c r="N42" s="197"/>
      <c r="O42" s="198"/>
      <c r="P42" s="197"/>
      <c r="Q42" s="199"/>
      <c r="R42" s="200"/>
      <c r="S42" s="201"/>
      <c r="T42" s="198"/>
      <c r="U42" s="197"/>
      <c r="V42" s="201"/>
      <c r="W42" s="202"/>
      <c r="X42" s="197"/>
      <c r="Y42" s="201"/>
      <c r="Z42" s="202"/>
      <c r="AA42" s="197"/>
      <c r="AB42" s="201"/>
      <c r="AC42" s="203"/>
      <c r="AD42" s="204"/>
      <c r="AE42" s="205"/>
      <c r="AF42" s="202"/>
      <c r="AG42" s="80"/>
      <c r="AH42" s="81"/>
      <c r="AI42" s="206" t="str">
        <f t="shared" si="3"/>
        <v/>
      </c>
      <c r="AJ42" s="192" t="b">
        <f t="shared" si="4"/>
        <v>1</v>
      </c>
      <c r="AK42" s="191"/>
      <c r="AL42" s="193"/>
      <c r="AM42" s="194"/>
    </row>
    <row r="43" spans="1:39" s="192" customFormat="1" ht="12.75" x14ac:dyDescent="0.2">
      <c r="A43" s="195"/>
      <c r="B43" s="195"/>
      <c r="C43" s="195"/>
      <c r="D43" s="195"/>
      <c r="E43" s="248"/>
      <c r="F43" s="248"/>
      <c r="G43" s="248"/>
      <c r="H43" s="248"/>
      <c r="I43" s="195"/>
      <c r="J43" s="195"/>
      <c r="K43" s="195"/>
      <c r="L43" s="247" t="e">
        <f t="shared" si="2"/>
        <v>#DIV/0!</v>
      </c>
      <c r="M43" s="196"/>
      <c r="N43" s="197"/>
      <c r="O43" s="198"/>
      <c r="P43" s="197"/>
      <c r="Q43" s="199"/>
      <c r="R43" s="200"/>
      <c r="S43" s="201"/>
      <c r="T43" s="198"/>
      <c r="U43" s="197"/>
      <c r="V43" s="201"/>
      <c r="W43" s="202"/>
      <c r="X43" s="197"/>
      <c r="Y43" s="201"/>
      <c r="Z43" s="202"/>
      <c r="AA43" s="197"/>
      <c r="AB43" s="201"/>
      <c r="AC43" s="203"/>
      <c r="AD43" s="204"/>
      <c r="AE43" s="205"/>
      <c r="AF43" s="202"/>
      <c r="AG43" s="80"/>
      <c r="AH43" s="81"/>
      <c r="AI43" s="206" t="str">
        <f t="shared" si="3"/>
        <v/>
      </c>
      <c r="AJ43" s="192" t="b">
        <f t="shared" si="4"/>
        <v>1</v>
      </c>
      <c r="AK43" s="191"/>
      <c r="AL43" s="193"/>
      <c r="AM43" s="194"/>
    </row>
    <row r="44" spans="1:39" s="192" customFormat="1" ht="12.75" x14ac:dyDescent="0.2">
      <c r="A44" s="195"/>
      <c r="B44" s="195"/>
      <c r="C44" s="195"/>
      <c r="D44" s="195"/>
      <c r="E44" s="248"/>
      <c r="F44" s="248"/>
      <c r="G44" s="248"/>
      <c r="H44" s="248"/>
      <c r="I44" s="195"/>
      <c r="J44" s="195"/>
      <c r="K44" s="195"/>
      <c r="L44" s="247" t="e">
        <f t="shared" si="2"/>
        <v>#DIV/0!</v>
      </c>
      <c r="M44" s="196"/>
      <c r="N44" s="197"/>
      <c r="O44" s="198"/>
      <c r="P44" s="197"/>
      <c r="Q44" s="199"/>
      <c r="R44" s="200"/>
      <c r="S44" s="201"/>
      <c r="T44" s="198"/>
      <c r="U44" s="197"/>
      <c r="V44" s="201"/>
      <c r="W44" s="202"/>
      <c r="X44" s="197"/>
      <c r="Y44" s="201"/>
      <c r="Z44" s="202"/>
      <c r="AA44" s="197"/>
      <c r="AB44" s="201"/>
      <c r="AC44" s="203"/>
      <c r="AD44" s="204"/>
      <c r="AE44" s="205"/>
      <c r="AF44" s="202"/>
      <c r="AG44" s="80"/>
      <c r="AH44" s="81"/>
      <c r="AI44" s="206" t="str">
        <f t="shared" si="3"/>
        <v/>
      </c>
      <c r="AJ44" s="192" t="b">
        <f t="shared" si="4"/>
        <v>1</v>
      </c>
      <c r="AK44" s="191"/>
      <c r="AL44" s="193"/>
      <c r="AM44" s="194"/>
    </row>
    <row r="45" spans="1:39" s="192" customFormat="1" ht="12.75" x14ac:dyDescent="0.2">
      <c r="A45" s="195"/>
      <c r="B45" s="195"/>
      <c r="C45" s="195"/>
      <c r="D45" s="195"/>
      <c r="E45" s="248"/>
      <c r="F45" s="248"/>
      <c r="G45" s="248"/>
      <c r="H45" s="248"/>
      <c r="I45" s="195"/>
      <c r="J45" s="195"/>
      <c r="K45" s="195"/>
      <c r="L45" s="247" t="e">
        <f t="shared" si="2"/>
        <v>#DIV/0!</v>
      </c>
      <c r="M45" s="196"/>
      <c r="N45" s="197"/>
      <c r="O45" s="198"/>
      <c r="P45" s="197"/>
      <c r="Q45" s="199"/>
      <c r="R45" s="200"/>
      <c r="S45" s="201"/>
      <c r="T45" s="198"/>
      <c r="U45" s="197"/>
      <c r="V45" s="201"/>
      <c r="W45" s="202"/>
      <c r="X45" s="197"/>
      <c r="Y45" s="201"/>
      <c r="Z45" s="202"/>
      <c r="AA45" s="197"/>
      <c r="AB45" s="201"/>
      <c r="AC45" s="203"/>
      <c r="AD45" s="204"/>
      <c r="AE45" s="205"/>
      <c r="AF45" s="202"/>
      <c r="AG45" s="80"/>
      <c r="AH45" s="81"/>
      <c r="AI45" s="206" t="str">
        <f t="shared" si="3"/>
        <v/>
      </c>
      <c r="AJ45" s="192" t="b">
        <f t="shared" si="4"/>
        <v>1</v>
      </c>
      <c r="AK45" s="191"/>
      <c r="AL45" s="193"/>
      <c r="AM45" s="194"/>
    </row>
    <row r="46" spans="1:39" s="192" customFormat="1" ht="12.75" x14ac:dyDescent="0.2">
      <c r="A46" s="195"/>
      <c r="B46" s="195"/>
      <c r="C46" s="195"/>
      <c r="D46" s="195"/>
      <c r="E46" s="248"/>
      <c r="F46" s="248"/>
      <c r="G46" s="248"/>
      <c r="H46" s="248"/>
      <c r="I46" s="195"/>
      <c r="J46" s="195"/>
      <c r="K46" s="195"/>
      <c r="L46" s="247" t="e">
        <f t="shared" si="2"/>
        <v>#DIV/0!</v>
      </c>
      <c r="M46" s="196"/>
      <c r="N46" s="197"/>
      <c r="O46" s="198"/>
      <c r="P46" s="197"/>
      <c r="Q46" s="199"/>
      <c r="R46" s="200"/>
      <c r="S46" s="201"/>
      <c r="T46" s="198"/>
      <c r="U46" s="197"/>
      <c r="V46" s="201"/>
      <c r="W46" s="202"/>
      <c r="X46" s="197"/>
      <c r="Y46" s="201"/>
      <c r="Z46" s="202"/>
      <c r="AA46" s="197"/>
      <c r="AB46" s="201"/>
      <c r="AC46" s="203"/>
      <c r="AD46" s="204"/>
      <c r="AE46" s="205"/>
      <c r="AF46" s="202"/>
      <c r="AG46" s="80"/>
      <c r="AH46" s="81"/>
      <c r="AI46" s="206" t="str">
        <f t="shared" si="3"/>
        <v/>
      </c>
      <c r="AJ46" s="192" t="b">
        <f t="shared" si="4"/>
        <v>1</v>
      </c>
      <c r="AK46" s="191"/>
      <c r="AL46" s="193"/>
      <c r="AM46" s="194"/>
    </row>
    <row r="47" spans="1:39" s="192" customFormat="1" ht="12.75" x14ac:dyDescent="0.2">
      <c r="A47" s="195"/>
      <c r="B47" s="195"/>
      <c r="C47" s="195"/>
      <c r="D47" s="195"/>
      <c r="E47" s="248"/>
      <c r="F47" s="248"/>
      <c r="G47" s="248"/>
      <c r="H47" s="248"/>
      <c r="I47" s="195"/>
      <c r="J47" s="195"/>
      <c r="K47" s="195"/>
      <c r="L47" s="247" t="e">
        <f t="shared" si="2"/>
        <v>#DIV/0!</v>
      </c>
      <c r="M47" s="196"/>
      <c r="N47" s="197"/>
      <c r="O47" s="198"/>
      <c r="P47" s="197"/>
      <c r="Q47" s="199"/>
      <c r="R47" s="200"/>
      <c r="S47" s="201"/>
      <c r="T47" s="198"/>
      <c r="U47" s="197"/>
      <c r="V47" s="201"/>
      <c r="W47" s="202"/>
      <c r="X47" s="197"/>
      <c r="Y47" s="201"/>
      <c r="Z47" s="202"/>
      <c r="AA47" s="197"/>
      <c r="AB47" s="201"/>
      <c r="AC47" s="203"/>
      <c r="AD47" s="204"/>
      <c r="AE47" s="205"/>
      <c r="AF47" s="202"/>
      <c r="AG47" s="80"/>
      <c r="AH47" s="81"/>
      <c r="AI47" s="206" t="str">
        <f t="shared" si="3"/>
        <v/>
      </c>
      <c r="AJ47" s="192" t="b">
        <f t="shared" si="4"/>
        <v>1</v>
      </c>
      <c r="AK47" s="191"/>
      <c r="AL47" s="193"/>
      <c r="AM47" s="194"/>
    </row>
    <row r="48" spans="1:39" s="192" customFormat="1" ht="12.75" x14ac:dyDescent="0.2">
      <c r="A48" s="195"/>
      <c r="B48" s="195"/>
      <c r="C48" s="195"/>
      <c r="D48" s="195"/>
      <c r="E48" s="248"/>
      <c r="F48" s="248"/>
      <c r="G48" s="248"/>
      <c r="H48" s="248"/>
      <c r="I48" s="195"/>
      <c r="J48" s="195"/>
      <c r="K48" s="195"/>
      <c r="L48" s="247" t="e">
        <f t="shared" si="2"/>
        <v>#DIV/0!</v>
      </c>
      <c r="M48" s="196"/>
      <c r="N48" s="197"/>
      <c r="O48" s="198"/>
      <c r="P48" s="197"/>
      <c r="Q48" s="199"/>
      <c r="R48" s="200"/>
      <c r="S48" s="201"/>
      <c r="T48" s="198"/>
      <c r="U48" s="197"/>
      <c r="V48" s="201"/>
      <c r="W48" s="202"/>
      <c r="X48" s="197"/>
      <c r="Y48" s="201"/>
      <c r="Z48" s="202"/>
      <c r="AA48" s="197"/>
      <c r="AB48" s="201"/>
      <c r="AC48" s="203"/>
      <c r="AD48" s="204"/>
      <c r="AE48" s="205"/>
      <c r="AF48" s="202"/>
      <c r="AG48" s="80"/>
      <c r="AH48" s="81"/>
      <c r="AI48" s="206" t="str">
        <f t="shared" si="3"/>
        <v/>
      </c>
      <c r="AJ48" s="192" t="b">
        <f t="shared" si="4"/>
        <v>1</v>
      </c>
      <c r="AK48" s="191"/>
      <c r="AL48" s="193"/>
      <c r="AM48" s="194"/>
    </row>
    <row r="49" spans="1:39" s="192" customFormat="1" ht="12.75" x14ac:dyDescent="0.2">
      <c r="A49" s="195"/>
      <c r="B49" s="195"/>
      <c r="C49" s="195"/>
      <c r="D49" s="195"/>
      <c r="E49" s="248"/>
      <c r="F49" s="248"/>
      <c r="G49" s="248"/>
      <c r="H49" s="248"/>
      <c r="I49" s="195"/>
      <c r="J49" s="195"/>
      <c r="K49" s="195"/>
      <c r="L49" s="247" t="e">
        <f t="shared" si="2"/>
        <v>#DIV/0!</v>
      </c>
      <c r="M49" s="196"/>
      <c r="N49" s="197"/>
      <c r="O49" s="198"/>
      <c r="P49" s="197"/>
      <c r="Q49" s="199"/>
      <c r="R49" s="200"/>
      <c r="S49" s="201"/>
      <c r="T49" s="198"/>
      <c r="U49" s="197"/>
      <c r="V49" s="201"/>
      <c r="W49" s="202"/>
      <c r="X49" s="197"/>
      <c r="Y49" s="201"/>
      <c r="Z49" s="202"/>
      <c r="AA49" s="197"/>
      <c r="AB49" s="201"/>
      <c r="AC49" s="203"/>
      <c r="AD49" s="204"/>
      <c r="AE49" s="205"/>
      <c r="AF49" s="202"/>
      <c r="AG49" s="80"/>
      <c r="AH49" s="81"/>
      <c r="AI49" s="206" t="str">
        <f t="shared" si="3"/>
        <v/>
      </c>
      <c r="AJ49" s="192" t="b">
        <f t="shared" si="4"/>
        <v>1</v>
      </c>
      <c r="AK49" s="191"/>
      <c r="AL49" s="193"/>
      <c r="AM49" s="194"/>
    </row>
    <row r="50" spans="1:39" s="192" customFormat="1" ht="12.75" x14ac:dyDescent="0.2">
      <c r="A50" s="195"/>
      <c r="B50" s="195"/>
      <c r="C50" s="195"/>
      <c r="D50" s="195"/>
      <c r="E50" s="248"/>
      <c r="F50" s="248"/>
      <c r="G50" s="248"/>
      <c r="H50" s="248"/>
      <c r="I50" s="195"/>
      <c r="J50" s="195"/>
      <c r="K50" s="195"/>
      <c r="L50" s="247" t="e">
        <f t="shared" si="2"/>
        <v>#DIV/0!</v>
      </c>
      <c r="M50" s="196"/>
      <c r="N50" s="197"/>
      <c r="O50" s="198"/>
      <c r="P50" s="197"/>
      <c r="Q50" s="199"/>
      <c r="R50" s="200"/>
      <c r="S50" s="201"/>
      <c r="T50" s="198"/>
      <c r="U50" s="197"/>
      <c r="V50" s="201"/>
      <c r="W50" s="202"/>
      <c r="X50" s="197"/>
      <c r="Y50" s="201"/>
      <c r="Z50" s="202"/>
      <c r="AA50" s="197"/>
      <c r="AB50" s="201"/>
      <c r="AC50" s="203"/>
      <c r="AD50" s="204"/>
      <c r="AE50" s="205"/>
      <c r="AF50" s="202"/>
      <c r="AG50" s="80"/>
      <c r="AH50" s="81"/>
      <c r="AI50" s="206" t="str">
        <f t="shared" si="3"/>
        <v/>
      </c>
      <c r="AJ50" s="192" t="b">
        <f t="shared" si="4"/>
        <v>1</v>
      </c>
      <c r="AK50" s="191"/>
      <c r="AL50" s="193"/>
      <c r="AM50" s="194"/>
    </row>
    <row r="51" spans="1:39" s="192" customFormat="1" ht="12.75" x14ac:dyDescent="0.2">
      <c r="A51" s="195"/>
      <c r="B51" s="195"/>
      <c r="C51" s="195"/>
      <c r="D51" s="195"/>
      <c r="E51" s="248"/>
      <c r="F51" s="248"/>
      <c r="G51" s="248"/>
      <c r="H51" s="248"/>
      <c r="I51" s="195"/>
      <c r="J51" s="195"/>
      <c r="K51" s="195"/>
      <c r="L51" s="247" t="e">
        <f t="shared" si="2"/>
        <v>#DIV/0!</v>
      </c>
      <c r="M51" s="196"/>
      <c r="N51" s="197"/>
      <c r="O51" s="198"/>
      <c r="P51" s="197"/>
      <c r="Q51" s="199"/>
      <c r="R51" s="200"/>
      <c r="S51" s="201"/>
      <c r="T51" s="198"/>
      <c r="U51" s="197"/>
      <c r="V51" s="201"/>
      <c r="W51" s="202"/>
      <c r="X51" s="197"/>
      <c r="Y51" s="201"/>
      <c r="Z51" s="202"/>
      <c r="AA51" s="197"/>
      <c r="AB51" s="201"/>
      <c r="AC51" s="203"/>
      <c r="AD51" s="204"/>
      <c r="AE51" s="205"/>
      <c r="AF51" s="202"/>
      <c r="AG51" s="80"/>
      <c r="AH51" s="81"/>
      <c r="AI51" s="206" t="str">
        <f t="shared" si="3"/>
        <v/>
      </c>
      <c r="AJ51" s="192" t="b">
        <f t="shared" si="4"/>
        <v>1</v>
      </c>
      <c r="AK51" s="191"/>
      <c r="AL51" s="193"/>
      <c r="AM51" s="194"/>
    </row>
    <row r="52" spans="1:39" s="192" customFormat="1" ht="12.75" x14ac:dyDescent="0.2">
      <c r="A52" s="195"/>
      <c r="B52" s="195"/>
      <c r="C52" s="195"/>
      <c r="D52" s="195"/>
      <c r="E52" s="248"/>
      <c r="F52" s="248"/>
      <c r="G52" s="248"/>
      <c r="H52" s="248"/>
      <c r="I52" s="195"/>
      <c r="J52" s="195"/>
      <c r="K52" s="195"/>
      <c r="L52" s="247" t="e">
        <f t="shared" si="2"/>
        <v>#DIV/0!</v>
      </c>
      <c r="M52" s="196"/>
      <c r="N52" s="197"/>
      <c r="O52" s="198"/>
      <c r="P52" s="197"/>
      <c r="Q52" s="199"/>
      <c r="R52" s="200"/>
      <c r="S52" s="201"/>
      <c r="T52" s="198"/>
      <c r="U52" s="197"/>
      <c r="V52" s="201"/>
      <c r="W52" s="202"/>
      <c r="X52" s="197"/>
      <c r="Y52" s="201"/>
      <c r="Z52" s="202"/>
      <c r="AA52" s="197"/>
      <c r="AB52" s="201"/>
      <c r="AC52" s="203"/>
      <c r="AD52" s="204"/>
      <c r="AE52" s="205"/>
      <c r="AF52" s="202"/>
      <c r="AG52" s="80"/>
      <c r="AH52" s="81"/>
      <c r="AI52" s="206" t="str">
        <f t="shared" si="3"/>
        <v/>
      </c>
      <c r="AJ52" s="192" t="b">
        <f t="shared" si="4"/>
        <v>1</v>
      </c>
      <c r="AK52" s="191"/>
      <c r="AL52" s="193"/>
      <c r="AM52" s="194"/>
    </row>
    <row r="53" spans="1:39" s="192" customFormat="1" ht="12.75" x14ac:dyDescent="0.2">
      <c r="A53" s="195"/>
      <c r="B53" s="195"/>
      <c r="C53" s="195"/>
      <c r="D53" s="195"/>
      <c r="E53" s="248"/>
      <c r="F53" s="248"/>
      <c r="G53" s="248"/>
      <c r="H53" s="248"/>
      <c r="I53" s="195"/>
      <c r="J53" s="195"/>
      <c r="K53" s="195"/>
      <c r="L53" s="247" t="e">
        <f t="shared" si="2"/>
        <v>#DIV/0!</v>
      </c>
      <c r="M53" s="196"/>
      <c r="N53" s="197"/>
      <c r="O53" s="198"/>
      <c r="P53" s="197"/>
      <c r="Q53" s="199"/>
      <c r="R53" s="200"/>
      <c r="S53" s="201"/>
      <c r="T53" s="198"/>
      <c r="U53" s="197"/>
      <c r="V53" s="201"/>
      <c r="W53" s="202"/>
      <c r="X53" s="197"/>
      <c r="Y53" s="201"/>
      <c r="Z53" s="202"/>
      <c r="AA53" s="197"/>
      <c r="AB53" s="201"/>
      <c r="AC53" s="203"/>
      <c r="AD53" s="204"/>
      <c r="AE53" s="205"/>
      <c r="AF53" s="202"/>
      <c r="AG53" s="80"/>
      <c r="AH53" s="81"/>
      <c r="AI53" s="206" t="str">
        <f t="shared" si="3"/>
        <v/>
      </c>
      <c r="AJ53" s="192" t="b">
        <f t="shared" si="4"/>
        <v>1</v>
      </c>
      <c r="AK53" s="191"/>
      <c r="AL53" s="193"/>
      <c r="AM53" s="194"/>
    </row>
    <row r="54" spans="1:39" s="192" customFormat="1" ht="12.75" x14ac:dyDescent="0.2">
      <c r="A54" s="195"/>
      <c r="B54" s="195"/>
      <c r="C54" s="195"/>
      <c r="D54" s="195"/>
      <c r="E54" s="248"/>
      <c r="F54" s="248"/>
      <c r="G54" s="248"/>
      <c r="H54" s="248"/>
      <c r="I54" s="195"/>
      <c r="J54" s="195"/>
      <c r="K54" s="195"/>
      <c r="L54" s="247" t="e">
        <f t="shared" si="2"/>
        <v>#DIV/0!</v>
      </c>
      <c r="M54" s="196"/>
      <c r="N54" s="197"/>
      <c r="O54" s="198"/>
      <c r="P54" s="197"/>
      <c r="Q54" s="199"/>
      <c r="R54" s="200"/>
      <c r="S54" s="201"/>
      <c r="T54" s="198"/>
      <c r="U54" s="197"/>
      <c r="V54" s="201"/>
      <c r="W54" s="202"/>
      <c r="X54" s="197"/>
      <c r="Y54" s="201"/>
      <c r="Z54" s="202"/>
      <c r="AA54" s="197"/>
      <c r="AB54" s="201"/>
      <c r="AC54" s="203"/>
      <c r="AD54" s="204"/>
      <c r="AE54" s="205"/>
      <c r="AF54" s="202"/>
      <c r="AG54" s="80"/>
      <c r="AH54" s="81"/>
      <c r="AI54" s="206" t="str">
        <f t="shared" si="3"/>
        <v/>
      </c>
      <c r="AJ54" s="192" t="b">
        <f t="shared" si="4"/>
        <v>1</v>
      </c>
      <c r="AK54" s="191"/>
      <c r="AL54" s="193"/>
      <c r="AM54" s="194"/>
    </row>
    <row r="55" spans="1:39" s="192" customFormat="1" ht="12.75" x14ac:dyDescent="0.2">
      <c r="A55" s="195"/>
      <c r="B55" s="195"/>
      <c r="C55" s="195"/>
      <c r="D55" s="195"/>
      <c r="E55" s="248"/>
      <c r="F55" s="248"/>
      <c r="G55" s="248"/>
      <c r="H55" s="248"/>
      <c r="I55" s="195"/>
      <c r="J55" s="195"/>
      <c r="K55" s="195"/>
      <c r="L55" s="247" t="e">
        <f t="shared" si="2"/>
        <v>#DIV/0!</v>
      </c>
      <c r="M55" s="196"/>
      <c r="N55" s="197"/>
      <c r="O55" s="198"/>
      <c r="P55" s="197"/>
      <c r="Q55" s="199"/>
      <c r="R55" s="200"/>
      <c r="S55" s="201"/>
      <c r="T55" s="198"/>
      <c r="U55" s="197"/>
      <c r="V55" s="201"/>
      <c r="W55" s="202"/>
      <c r="X55" s="197"/>
      <c r="Y55" s="201"/>
      <c r="Z55" s="202"/>
      <c r="AA55" s="197"/>
      <c r="AB55" s="201"/>
      <c r="AC55" s="203"/>
      <c r="AD55" s="204"/>
      <c r="AE55" s="205"/>
      <c r="AF55" s="202"/>
      <c r="AG55" s="80"/>
      <c r="AH55" s="81"/>
      <c r="AI55" s="206" t="str">
        <f t="shared" si="3"/>
        <v/>
      </c>
      <c r="AJ55" s="192" t="b">
        <f t="shared" si="4"/>
        <v>1</v>
      </c>
      <c r="AK55" s="191"/>
      <c r="AL55" s="193"/>
      <c r="AM55" s="194"/>
    </row>
    <row r="56" spans="1:39" s="192" customFormat="1" ht="12.75" x14ac:dyDescent="0.2">
      <c r="A56" s="195"/>
      <c r="B56" s="195"/>
      <c r="C56" s="195"/>
      <c r="D56" s="195"/>
      <c r="E56" s="248"/>
      <c r="F56" s="248"/>
      <c r="G56" s="248"/>
      <c r="H56" s="248"/>
      <c r="I56" s="195"/>
      <c r="J56" s="195"/>
      <c r="K56" s="195"/>
      <c r="L56" s="247" t="e">
        <f t="shared" si="2"/>
        <v>#DIV/0!</v>
      </c>
      <c r="M56" s="196"/>
      <c r="N56" s="197"/>
      <c r="O56" s="198"/>
      <c r="P56" s="197"/>
      <c r="Q56" s="199"/>
      <c r="R56" s="200"/>
      <c r="S56" s="201"/>
      <c r="T56" s="198"/>
      <c r="U56" s="197"/>
      <c r="V56" s="201"/>
      <c r="W56" s="202"/>
      <c r="X56" s="197"/>
      <c r="Y56" s="201"/>
      <c r="Z56" s="202"/>
      <c r="AA56" s="197"/>
      <c r="AB56" s="201"/>
      <c r="AC56" s="203"/>
      <c r="AD56" s="204"/>
      <c r="AE56" s="205"/>
      <c r="AF56" s="202"/>
      <c r="AG56" s="80"/>
      <c r="AH56" s="81"/>
      <c r="AI56" s="206" t="str">
        <f t="shared" si="3"/>
        <v/>
      </c>
      <c r="AJ56" s="192" t="b">
        <f t="shared" si="4"/>
        <v>1</v>
      </c>
      <c r="AK56" s="191"/>
      <c r="AL56" s="193"/>
      <c r="AM56" s="194"/>
    </row>
    <row r="57" spans="1:39" s="192" customFormat="1" ht="12.75" x14ac:dyDescent="0.2">
      <c r="A57" s="195"/>
      <c r="B57" s="195"/>
      <c r="C57" s="195"/>
      <c r="D57" s="195"/>
      <c r="E57" s="248"/>
      <c r="F57" s="248"/>
      <c r="G57" s="248"/>
      <c r="H57" s="248"/>
      <c r="I57" s="195"/>
      <c r="J57" s="195"/>
      <c r="K57" s="195"/>
      <c r="L57" s="247" t="e">
        <f t="shared" si="2"/>
        <v>#DIV/0!</v>
      </c>
      <c r="M57" s="196"/>
      <c r="N57" s="197"/>
      <c r="O57" s="198"/>
      <c r="P57" s="197"/>
      <c r="Q57" s="199"/>
      <c r="R57" s="200"/>
      <c r="S57" s="201"/>
      <c r="T57" s="198"/>
      <c r="U57" s="197"/>
      <c r="V57" s="201"/>
      <c r="W57" s="202"/>
      <c r="X57" s="197"/>
      <c r="Y57" s="201"/>
      <c r="Z57" s="202"/>
      <c r="AA57" s="197"/>
      <c r="AB57" s="201"/>
      <c r="AC57" s="203"/>
      <c r="AD57" s="204"/>
      <c r="AE57" s="205"/>
      <c r="AF57" s="202"/>
      <c r="AG57" s="80"/>
      <c r="AH57" s="81"/>
      <c r="AI57" s="206" t="str">
        <f t="shared" si="3"/>
        <v/>
      </c>
      <c r="AJ57" s="192" t="b">
        <f t="shared" si="4"/>
        <v>1</v>
      </c>
      <c r="AK57" s="191"/>
      <c r="AL57" s="193"/>
      <c r="AM57" s="194"/>
    </row>
    <row r="58" spans="1:39" s="192" customFormat="1" ht="12.75" x14ac:dyDescent="0.2">
      <c r="A58" s="195"/>
      <c r="B58" s="195"/>
      <c r="C58" s="195"/>
      <c r="D58" s="195"/>
      <c r="E58" s="248"/>
      <c r="F58" s="248"/>
      <c r="G58" s="248"/>
      <c r="H58" s="248"/>
      <c r="I58" s="195"/>
      <c r="J58" s="195"/>
      <c r="K58" s="195"/>
      <c r="L58" s="247" t="e">
        <f t="shared" si="2"/>
        <v>#DIV/0!</v>
      </c>
      <c r="M58" s="196"/>
      <c r="N58" s="197"/>
      <c r="O58" s="198"/>
      <c r="P58" s="197"/>
      <c r="Q58" s="199"/>
      <c r="R58" s="200"/>
      <c r="S58" s="201"/>
      <c r="T58" s="198"/>
      <c r="U58" s="197"/>
      <c r="V58" s="201"/>
      <c r="W58" s="202"/>
      <c r="X58" s="197"/>
      <c r="Y58" s="201"/>
      <c r="Z58" s="202"/>
      <c r="AA58" s="197"/>
      <c r="AB58" s="201"/>
      <c r="AC58" s="203"/>
      <c r="AD58" s="204"/>
      <c r="AE58" s="205"/>
      <c r="AF58" s="202"/>
      <c r="AG58" s="80"/>
      <c r="AH58" s="81"/>
      <c r="AI58" s="206" t="str">
        <f t="shared" si="3"/>
        <v/>
      </c>
      <c r="AJ58" s="192" t="b">
        <f t="shared" si="4"/>
        <v>1</v>
      </c>
      <c r="AK58" s="191"/>
      <c r="AL58" s="193"/>
      <c r="AM58" s="194"/>
    </row>
    <row r="59" spans="1:39" s="192" customFormat="1" ht="12.75" x14ac:dyDescent="0.2">
      <c r="A59" s="195"/>
      <c r="B59" s="195"/>
      <c r="C59" s="195"/>
      <c r="D59" s="195"/>
      <c r="E59" s="248"/>
      <c r="F59" s="248"/>
      <c r="G59" s="248"/>
      <c r="H59" s="248"/>
      <c r="I59" s="195"/>
      <c r="J59" s="195"/>
      <c r="K59" s="195"/>
      <c r="L59" s="247" t="e">
        <f t="shared" si="2"/>
        <v>#DIV/0!</v>
      </c>
      <c r="M59" s="196"/>
      <c r="N59" s="197"/>
      <c r="O59" s="198"/>
      <c r="P59" s="197"/>
      <c r="Q59" s="199"/>
      <c r="R59" s="200"/>
      <c r="S59" s="201"/>
      <c r="T59" s="198"/>
      <c r="U59" s="197"/>
      <c r="V59" s="201"/>
      <c r="W59" s="202"/>
      <c r="X59" s="197"/>
      <c r="Y59" s="201"/>
      <c r="Z59" s="202"/>
      <c r="AA59" s="197"/>
      <c r="AB59" s="201"/>
      <c r="AC59" s="203"/>
      <c r="AD59" s="204"/>
      <c r="AE59" s="205"/>
      <c r="AF59" s="202"/>
      <c r="AG59" s="80"/>
      <c r="AH59" s="81"/>
      <c r="AI59" s="206" t="str">
        <f t="shared" si="3"/>
        <v/>
      </c>
      <c r="AJ59" s="192" t="b">
        <f t="shared" si="4"/>
        <v>1</v>
      </c>
      <c r="AK59" s="191"/>
      <c r="AL59" s="193"/>
      <c r="AM59" s="194"/>
    </row>
    <row r="60" spans="1:39" s="192" customFormat="1" ht="12.75" x14ac:dyDescent="0.2">
      <c r="A60" s="195"/>
      <c r="B60" s="195"/>
      <c r="C60" s="195"/>
      <c r="D60" s="195"/>
      <c r="E60" s="248"/>
      <c r="F60" s="248"/>
      <c r="G60" s="248"/>
      <c r="H60" s="248"/>
      <c r="I60" s="195"/>
      <c r="J60" s="195"/>
      <c r="K60" s="195"/>
      <c r="L60" s="247" t="e">
        <f t="shared" si="2"/>
        <v>#DIV/0!</v>
      </c>
      <c r="M60" s="196"/>
      <c r="N60" s="197"/>
      <c r="O60" s="198"/>
      <c r="P60" s="197"/>
      <c r="Q60" s="199"/>
      <c r="R60" s="200"/>
      <c r="S60" s="201"/>
      <c r="T60" s="198"/>
      <c r="U60" s="197"/>
      <c r="V60" s="201"/>
      <c r="W60" s="202"/>
      <c r="X60" s="197"/>
      <c r="Y60" s="201"/>
      <c r="Z60" s="202"/>
      <c r="AA60" s="197"/>
      <c r="AB60" s="201"/>
      <c r="AC60" s="203"/>
      <c r="AD60" s="204"/>
      <c r="AE60" s="205"/>
      <c r="AF60" s="202"/>
      <c r="AG60" s="80"/>
      <c r="AH60" s="81"/>
      <c r="AI60" s="206" t="str">
        <f t="shared" si="3"/>
        <v/>
      </c>
      <c r="AJ60" s="192" t="b">
        <f t="shared" si="4"/>
        <v>1</v>
      </c>
      <c r="AK60" s="191"/>
      <c r="AL60" s="193"/>
      <c r="AM60" s="194"/>
    </row>
    <row r="61" spans="1:39" s="192" customFormat="1" ht="12.75" x14ac:dyDescent="0.2">
      <c r="A61" s="195"/>
      <c r="B61" s="195"/>
      <c r="C61" s="195"/>
      <c r="D61" s="195"/>
      <c r="E61" s="248"/>
      <c r="F61" s="248"/>
      <c r="G61" s="248"/>
      <c r="H61" s="248"/>
      <c r="I61" s="195"/>
      <c r="J61" s="195"/>
      <c r="K61" s="195"/>
      <c r="L61" s="247" t="e">
        <f t="shared" si="2"/>
        <v>#DIV/0!</v>
      </c>
      <c r="M61" s="196"/>
      <c r="N61" s="197"/>
      <c r="O61" s="198"/>
      <c r="P61" s="197"/>
      <c r="Q61" s="199"/>
      <c r="R61" s="200"/>
      <c r="S61" s="201"/>
      <c r="T61" s="198"/>
      <c r="U61" s="197"/>
      <c r="V61" s="201"/>
      <c r="W61" s="202"/>
      <c r="X61" s="197"/>
      <c r="Y61" s="201"/>
      <c r="Z61" s="202"/>
      <c r="AA61" s="197"/>
      <c r="AB61" s="201"/>
      <c r="AC61" s="203"/>
      <c r="AD61" s="204"/>
      <c r="AE61" s="205"/>
      <c r="AF61" s="202"/>
      <c r="AG61" s="80"/>
      <c r="AH61" s="81"/>
      <c r="AI61" s="206" t="str">
        <f t="shared" si="3"/>
        <v/>
      </c>
      <c r="AJ61" s="192" t="b">
        <f t="shared" si="4"/>
        <v>1</v>
      </c>
      <c r="AK61" s="191"/>
      <c r="AL61" s="193"/>
      <c r="AM61" s="194"/>
    </row>
    <row r="62" spans="1:39" s="192" customFormat="1" ht="12.75" x14ac:dyDescent="0.2">
      <c r="A62" s="195"/>
      <c r="B62" s="195"/>
      <c r="C62" s="195"/>
      <c r="D62" s="195"/>
      <c r="E62" s="248"/>
      <c r="F62" s="248"/>
      <c r="G62" s="248"/>
      <c r="H62" s="248"/>
      <c r="I62" s="195"/>
      <c r="J62" s="195"/>
      <c r="K62" s="195"/>
      <c r="L62" s="247" t="e">
        <f t="shared" si="2"/>
        <v>#DIV/0!</v>
      </c>
      <c r="M62" s="196"/>
      <c r="N62" s="197"/>
      <c r="O62" s="198"/>
      <c r="P62" s="197"/>
      <c r="Q62" s="199"/>
      <c r="R62" s="200"/>
      <c r="S62" s="201"/>
      <c r="T62" s="198"/>
      <c r="U62" s="197"/>
      <c r="V62" s="201"/>
      <c r="W62" s="202"/>
      <c r="X62" s="197"/>
      <c r="Y62" s="201"/>
      <c r="Z62" s="202"/>
      <c r="AA62" s="197"/>
      <c r="AB62" s="201"/>
      <c r="AC62" s="203"/>
      <c r="AD62" s="204"/>
      <c r="AE62" s="205"/>
      <c r="AF62" s="202"/>
      <c r="AG62" s="80"/>
      <c r="AH62" s="81"/>
      <c r="AI62" s="206" t="str">
        <f t="shared" si="3"/>
        <v/>
      </c>
      <c r="AJ62" s="192" t="b">
        <f t="shared" si="4"/>
        <v>1</v>
      </c>
      <c r="AK62" s="191"/>
      <c r="AL62" s="193"/>
      <c r="AM62" s="194"/>
    </row>
    <row r="63" spans="1:39" s="192" customFormat="1" ht="12.75" x14ac:dyDescent="0.2">
      <c r="A63" s="195"/>
      <c r="B63" s="195"/>
      <c r="C63" s="195"/>
      <c r="D63" s="195"/>
      <c r="E63" s="248"/>
      <c r="F63" s="248"/>
      <c r="G63" s="248"/>
      <c r="H63" s="248"/>
      <c r="I63" s="195"/>
      <c r="J63" s="195"/>
      <c r="K63" s="195"/>
      <c r="L63" s="247" t="e">
        <f t="shared" si="2"/>
        <v>#DIV/0!</v>
      </c>
      <c r="M63" s="196"/>
      <c r="N63" s="197"/>
      <c r="O63" s="198"/>
      <c r="P63" s="197"/>
      <c r="Q63" s="199"/>
      <c r="R63" s="200"/>
      <c r="S63" s="201"/>
      <c r="T63" s="198"/>
      <c r="U63" s="197"/>
      <c r="V63" s="201"/>
      <c r="W63" s="202"/>
      <c r="X63" s="197"/>
      <c r="Y63" s="201"/>
      <c r="Z63" s="202"/>
      <c r="AA63" s="197"/>
      <c r="AB63" s="201"/>
      <c r="AC63" s="203"/>
      <c r="AD63" s="204"/>
      <c r="AE63" s="205"/>
      <c r="AF63" s="202"/>
      <c r="AG63" s="80"/>
      <c r="AH63" s="81"/>
      <c r="AI63" s="206" t="str">
        <f t="shared" si="3"/>
        <v/>
      </c>
      <c r="AJ63" s="192" t="b">
        <f t="shared" si="4"/>
        <v>1</v>
      </c>
      <c r="AK63" s="191"/>
      <c r="AL63" s="193"/>
      <c r="AM63" s="194"/>
    </row>
    <row r="64" spans="1:39" s="192" customFormat="1" ht="12.75" x14ac:dyDescent="0.2">
      <c r="A64" s="195"/>
      <c r="B64" s="195"/>
      <c r="C64" s="195"/>
      <c r="D64" s="195"/>
      <c r="E64" s="248"/>
      <c r="F64" s="248"/>
      <c r="G64" s="248"/>
      <c r="H64" s="248"/>
      <c r="I64" s="195"/>
      <c r="J64" s="195"/>
      <c r="K64" s="195"/>
      <c r="L64" s="247" t="e">
        <f t="shared" si="2"/>
        <v>#DIV/0!</v>
      </c>
      <c r="M64" s="196"/>
      <c r="N64" s="197"/>
      <c r="O64" s="198"/>
      <c r="P64" s="197"/>
      <c r="Q64" s="199"/>
      <c r="R64" s="200"/>
      <c r="S64" s="201"/>
      <c r="T64" s="198"/>
      <c r="U64" s="197"/>
      <c r="V64" s="201"/>
      <c r="W64" s="202"/>
      <c r="X64" s="197"/>
      <c r="Y64" s="201"/>
      <c r="Z64" s="202"/>
      <c r="AA64" s="197"/>
      <c r="AB64" s="201"/>
      <c r="AC64" s="203"/>
      <c r="AD64" s="204"/>
      <c r="AE64" s="205"/>
      <c r="AF64" s="202"/>
      <c r="AG64" s="80"/>
      <c r="AH64" s="81"/>
      <c r="AI64" s="206" t="str">
        <f t="shared" si="3"/>
        <v/>
      </c>
      <c r="AJ64" s="192" t="b">
        <f t="shared" si="4"/>
        <v>1</v>
      </c>
      <c r="AK64" s="191"/>
      <c r="AL64" s="193"/>
      <c r="AM64" s="194"/>
    </row>
    <row r="65" spans="1:39" s="192" customFormat="1" ht="12.75" x14ac:dyDescent="0.2">
      <c r="A65" s="195"/>
      <c r="B65" s="195"/>
      <c r="C65" s="195"/>
      <c r="D65" s="195"/>
      <c r="E65" s="248"/>
      <c r="F65" s="248"/>
      <c r="G65" s="248"/>
      <c r="H65" s="248"/>
      <c r="I65" s="195"/>
      <c r="J65" s="195"/>
      <c r="K65" s="195"/>
      <c r="L65" s="247" t="e">
        <f t="shared" si="2"/>
        <v>#DIV/0!</v>
      </c>
      <c r="M65" s="196"/>
      <c r="N65" s="197"/>
      <c r="O65" s="198"/>
      <c r="P65" s="197"/>
      <c r="Q65" s="199"/>
      <c r="R65" s="200"/>
      <c r="S65" s="201"/>
      <c r="T65" s="198"/>
      <c r="U65" s="197"/>
      <c r="V65" s="201"/>
      <c r="W65" s="202"/>
      <c r="X65" s="197"/>
      <c r="Y65" s="201"/>
      <c r="Z65" s="202"/>
      <c r="AA65" s="197"/>
      <c r="AB65" s="201"/>
      <c r="AC65" s="203"/>
      <c r="AD65" s="204"/>
      <c r="AE65" s="205"/>
      <c r="AF65" s="202"/>
      <c r="AG65" s="80"/>
      <c r="AH65" s="81"/>
      <c r="AI65" s="206" t="str">
        <f t="shared" si="3"/>
        <v/>
      </c>
      <c r="AJ65" s="192" t="b">
        <f t="shared" si="4"/>
        <v>1</v>
      </c>
      <c r="AK65" s="191"/>
      <c r="AL65" s="193"/>
      <c r="AM65" s="194"/>
    </row>
    <row r="66" spans="1:39" s="192" customFormat="1" ht="12.75" x14ac:dyDescent="0.2">
      <c r="A66" s="195"/>
      <c r="B66" s="195"/>
      <c r="C66" s="195"/>
      <c r="D66" s="195"/>
      <c r="E66" s="248"/>
      <c r="F66" s="248"/>
      <c r="G66" s="248"/>
      <c r="H66" s="248"/>
      <c r="I66" s="195"/>
      <c r="J66" s="195"/>
      <c r="K66" s="195"/>
      <c r="L66" s="247" t="e">
        <f t="shared" si="2"/>
        <v>#DIV/0!</v>
      </c>
      <c r="M66" s="196"/>
      <c r="N66" s="197"/>
      <c r="O66" s="198"/>
      <c r="P66" s="197"/>
      <c r="Q66" s="199"/>
      <c r="R66" s="200"/>
      <c r="S66" s="201"/>
      <c r="T66" s="198"/>
      <c r="U66" s="197"/>
      <c r="V66" s="201"/>
      <c r="W66" s="202"/>
      <c r="X66" s="197"/>
      <c r="Y66" s="201"/>
      <c r="Z66" s="202"/>
      <c r="AA66" s="197"/>
      <c r="AB66" s="201"/>
      <c r="AC66" s="203"/>
      <c r="AD66" s="204"/>
      <c r="AE66" s="205"/>
      <c r="AF66" s="202"/>
      <c r="AG66" s="80"/>
      <c r="AH66" s="81"/>
      <c r="AI66" s="206" t="str">
        <f t="shared" si="3"/>
        <v/>
      </c>
      <c r="AJ66" s="192" t="b">
        <f t="shared" si="4"/>
        <v>1</v>
      </c>
      <c r="AK66" s="191"/>
      <c r="AL66" s="193"/>
      <c r="AM66" s="194"/>
    </row>
    <row r="67" spans="1:39" s="192" customFormat="1" ht="12.75" x14ac:dyDescent="0.2">
      <c r="A67" s="195"/>
      <c r="B67" s="195"/>
      <c r="C67" s="195"/>
      <c r="D67" s="195"/>
      <c r="E67" s="248"/>
      <c r="F67" s="248"/>
      <c r="G67" s="248"/>
      <c r="H67" s="248"/>
      <c r="I67" s="195"/>
      <c r="J67" s="195"/>
      <c r="K67" s="195"/>
      <c r="L67" s="247" t="e">
        <f t="shared" si="2"/>
        <v>#DIV/0!</v>
      </c>
      <c r="M67" s="196"/>
      <c r="N67" s="197"/>
      <c r="O67" s="198"/>
      <c r="P67" s="197"/>
      <c r="Q67" s="199"/>
      <c r="R67" s="200"/>
      <c r="S67" s="201"/>
      <c r="T67" s="198"/>
      <c r="U67" s="197"/>
      <c r="V67" s="201"/>
      <c r="W67" s="202"/>
      <c r="X67" s="197"/>
      <c r="Y67" s="201"/>
      <c r="Z67" s="202"/>
      <c r="AA67" s="197"/>
      <c r="AB67" s="201"/>
      <c r="AC67" s="203"/>
      <c r="AD67" s="204"/>
      <c r="AE67" s="205"/>
      <c r="AF67" s="202"/>
      <c r="AG67" s="80"/>
      <c r="AH67" s="81"/>
      <c r="AI67" s="206" t="str">
        <f t="shared" si="3"/>
        <v/>
      </c>
      <c r="AJ67" s="192" t="b">
        <f t="shared" si="4"/>
        <v>1</v>
      </c>
      <c r="AK67" s="191"/>
      <c r="AL67" s="193"/>
      <c r="AM67" s="194"/>
    </row>
    <row r="68" spans="1:39" s="192" customFormat="1" ht="12.75" x14ac:dyDescent="0.2">
      <c r="A68" s="195"/>
      <c r="B68" s="195"/>
      <c r="C68" s="195"/>
      <c r="D68" s="195"/>
      <c r="E68" s="248"/>
      <c r="F68" s="248"/>
      <c r="G68" s="248"/>
      <c r="H68" s="248"/>
      <c r="I68" s="195"/>
      <c r="J68" s="195"/>
      <c r="K68" s="195"/>
      <c r="L68" s="247" t="e">
        <f t="shared" si="2"/>
        <v>#DIV/0!</v>
      </c>
      <c r="M68" s="196"/>
      <c r="N68" s="197"/>
      <c r="O68" s="198"/>
      <c r="P68" s="197"/>
      <c r="Q68" s="199"/>
      <c r="R68" s="200"/>
      <c r="S68" s="201"/>
      <c r="T68" s="198"/>
      <c r="U68" s="197"/>
      <c r="V68" s="201"/>
      <c r="W68" s="202"/>
      <c r="X68" s="197"/>
      <c r="Y68" s="201"/>
      <c r="Z68" s="202"/>
      <c r="AA68" s="197"/>
      <c r="AB68" s="201"/>
      <c r="AC68" s="203"/>
      <c r="AD68" s="204"/>
      <c r="AE68" s="205"/>
      <c r="AF68" s="202"/>
      <c r="AG68" s="80"/>
      <c r="AH68" s="81"/>
      <c r="AI68" s="206" t="str">
        <f t="shared" si="3"/>
        <v/>
      </c>
      <c r="AJ68" s="192" t="b">
        <f t="shared" si="4"/>
        <v>1</v>
      </c>
      <c r="AK68" s="191"/>
      <c r="AL68" s="193"/>
      <c r="AM68" s="194"/>
    </row>
    <row r="69" spans="1:39" s="192" customFormat="1" ht="12.75" x14ac:dyDescent="0.2">
      <c r="A69" s="195"/>
      <c r="B69" s="195"/>
      <c r="C69" s="195"/>
      <c r="D69" s="195"/>
      <c r="E69" s="248"/>
      <c r="F69" s="248"/>
      <c r="G69" s="248"/>
      <c r="H69" s="248"/>
      <c r="I69" s="195"/>
      <c r="J69" s="195"/>
      <c r="K69" s="195"/>
      <c r="L69" s="247" t="e">
        <f t="shared" si="2"/>
        <v>#DIV/0!</v>
      </c>
      <c r="M69" s="196"/>
      <c r="N69" s="197"/>
      <c r="O69" s="198"/>
      <c r="P69" s="197"/>
      <c r="Q69" s="199"/>
      <c r="R69" s="200"/>
      <c r="S69" s="201"/>
      <c r="T69" s="198"/>
      <c r="U69" s="197"/>
      <c r="V69" s="201"/>
      <c r="W69" s="202"/>
      <c r="X69" s="197"/>
      <c r="Y69" s="201"/>
      <c r="Z69" s="202"/>
      <c r="AA69" s="197"/>
      <c r="AB69" s="201"/>
      <c r="AC69" s="203"/>
      <c r="AD69" s="204"/>
      <c r="AE69" s="205"/>
      <c r="AF69" s="202"/>
      <c r="AG69" s="80"/>
      <c r="AH69" s="81"/>
      <c r="AI69" s="206" t="str">
        <f t="shared" si="3"/>
        <v/>
      </c>
      <c r="AJ69" s="192" t="b">
        <f t="shared" si="4"/>
        <v>1</v>
      </c>
      <c r="AK69" s="191"/>
      <c r="AL69" s="193"/>
      <c r="AM69" s="194"/>
    </row>
    <row r="70" spans="1:39" s="192" customFormat="1" ht="12.75" x14ac:dyDescent="0.2">
      <c r="A70" s="195"/>
      <c r="B70" s="195"/>
      <c r="C70" s="195"/>
      <c r="D70" s="195"/>
      <c r="E70" s="248"/>
      <c r="F70" s="248"/>
      <c r="G70" s="248"/>
      <c r="H70" s="248"/>
      <c r="I70" s="195"/>
      <c r="J70" s="195"/>
      <c r="K70" s="195"/>
      <c r="L70" s="247" t="e">
        <f t="shared" si="2"/>
        <v>#DIV/0!</v>
      </c>
      <c r="M70" s="196"/>
      <c r="N70" s="197"/>
      <c r="O70" s="198"/>
      <c r="P70" s="197"/>
      <c r="Q70" s="199"/>
      <c r="R70" s="200"/>
      <c r="S70" s="201"/>
      <c r="T70" s="198"/>
      <c r="U70" s="197"/>
      <c r="V70" s="201"/>
      <c r="W70" s="202"/>
      <c r="X70" s="197"/>
      <c r="Y70" s="201"/>
      <c r="Z70" s="202"/>
      <c r="AA70" s="197"/>
      <c r="AB70" s="201"/>
      <c r="AC70" s="203"/>
      <c r="AD70" s="204"/>
      <c r="AE70" s="205"/>
      <c r="AF70" s="202"/>
      <c r="AG70" s="80"/>
      <c r="AH70" s="81"/>
      <c r="AI70" s="206" t="str">
        <f t="shared" si="3"/>
        <v/>
      </c>
      <c r="AJ70" s="192" t="b">
        <f t="shared" ref="AJ70:AJ98" si="5">OR(N70="",O70="",P70="",Q70="",U70="",V70="",W70="")</f>
        <v>1</v>
      </c>
      <c r="AK70" s="191"/>
      <c r="AL70" s="193"/>
      <c r="AM70" s="194"/>
    </row>
    <row r="71" spans="1:39" s="192" customFormat="1" ht="12.75" x14ac:dyDescent="0.2">
      <c r="A71" s="195"/>
      <c r="B71" s="195"/>
      <c r="C71" s="195"/>
      <c r="D71" s="195"/>
      <c r="E71" s="248"/>
      <c r="F71" s="248"/>
      <c r="G71" s="248"/>
      <c r="H71" s="248"/>
      <c r="I71" s="195"/>
      <c r="J71" s="195"/>
      <c r="K71" s="195"/>
      <c r="L71" s="247" t="e">
        <f t="shared" si="2"/>
        <v>#DIV/0!</v>
      </c>
      <c r="M71" s="196"/>
      <c r="N71" s="197"/>
      <c r="O71" s="198"/>
      <c r="P71" s="197"/>
      <c r="Q71" s="199"/>
      <c r="R71" s="200"/>
      <c r="S71" s="201"/>
      <c r="T71" s="198"/>
      <c r="U71" s="197"/>
      <c r="V71" s="201"/>
      <c r="W71" s="202"/>
      <c r="X71" s="197"/>
      <c r="Y71" s="201"/>
      <c r="Z71" s="202"/>
      <c r="AA71" s="197"/>
      <c r="AB71" s="201"/>
      <c r="AC71" s="203"/>
      <c r="AD71" s="204"/>
      <c r="AE71" s="205"/>
      <c r="AF71" s="202"/>
      <c r="AG71" s="80"/>
      <c r="AH71" s="81"/>
      <c r="AI71" s="206" t="str">
        <f t="shared" ref="AI71:AI98" si="6">IF(TRUE=OR(P71="",Q71=""),"",AVERAGE(P71:Q71))</f>
        <v/>
      </c>
      <c r="AJ71" s="192" t="b">
        <f t="shared" si="5"/>
        <v>1</v>
      </c>
      <c r="AK71" s="191"/>
      <c r="AL71" s="193"/>
      <c r="AM71" s="194"/>
    </row>
    <row r="72" spans="1:39" s="192" customFormat="1" ht="12.75" x14ac:dyDescent="0.2">
      <c r="A72" s="195"/>
      <c r="B72" s="195"/>
      <c r="C72" s="195"/>
      <c r="D72" s="195"/>
      <c r="E72" s="248"/>
      <c r="F72" s="248"/>
      <c r="G72" s="248"/>
      <c r="H72" s="248"/>
      <c r="I72" s="195"/>
      <c r="J72" s="195"/>
      <c r="K72" s="195"/>
      <c r="L72" s="247" t="e">
        <f t="shared" ref="L72:L98" si="7">J72/K72</f>
        <v>#DIV/0!</v>
      </c>
      <c r="M72" s="196"/>
      <c r="N72" s="197"/>
      <c r="O72" s="198"/>
      <c r="P72" s="197"/>
      <c r="Q72" s="199"/>
      <c r="R72" s="200"/>
      <c r="S72" s="201"/>
      <c r="T72" s="198"/>
      <c r="U72" s="197"/>
      <c r="V72" s="201"/>
      <c r="W72" s="202"/>
      <c r="X72" s="197"/>
      <c r="Y72" s="201"/>
      <c r="Z72" s="202"/>
      <c r="AA72" s="197"/>
      <c r="AB72" s="201"/>
      <c r="AC72" s="203"/>
      <c r="AD72" s="204"/>
      <c r="AE72" s="205"/>
      <c r="AF72" s="202"/>
      <c r="AG72" s="80"/>
      <c r="AH72" s="81"/>
      <c r="AI72" s="206" t="str">
        <f t="shared" si="6"/>
        <v/>
      </c>
      <c r="AJ72" s="192" t="b">
        <f t="shared" si="5"/>
        <v>1</v>
      </c>
      <c r="AK72" s="191"/>
      <c r="AL72" s="193"/>
      <c r="AM72" s="194"/>
    </row>
    <row r="73" spans="1:39" s="192" customFormat="1" ht="12.75" x14ac:dyDescent="0.2">
      <c r="A73" s="195"/>
      <c r="B73" s="195"/>
      <c r="C73" s="195"/>
      <c r="D73" s="195"/>
      <c r="E73" s="248"/>
      <c r="F73" s="248"/>
      <c r="G73" s="248"/>
      <c r="H73" s="248"/>
      <c r="I73" s="195"/>
      <c r="J73" s="195"/>
      <c r="K73" s="195"/>
      <c r="L73" s="247" t="e">
        <f t="shared" si="7"/>
        <v>#DIV/0!</v>
      </c>
      <c r="M73" s="196"/>
      <c r="N73" s="197"/>
      <c r="O73" s="198"/>
      <c r="P73" s="197"/>
      <c r="Q73" s="199"/>
      <c r="R73" s="200"/>
      <c r="S73" s="201"/>
      <c r="T73" s="198"/>
      <c r="U73" s="197"/>
      <c r="V73" s="201"/>
      <c r="W73" s="202"/>
      <c r="X73" s="197"/>
      <c r="Y73" s="201"/>
      <c r="Z73" s="202"/>
      <c r="AA73" s="197"/>
      <c r="AB73" s="201"/>
      <c r="AC73" s="203"/>
      <c r="AD73" s="204"/>
      <c r="AE73" s="205"/>
      <c r="AF73" s="202"/>
      <c r="AG73" s="80"/>
      <c r="AH73" s="81"/>
      <c r="AI73" s="206" t="str">
        <f t="shared" si="6"/>
        <v/>
      </c>
      <c r="AJ73" s="192" t="b">
        <f t="shared" si="5"/>
        <v>1</v>
      </c>
      <c r="AK73" s="191"/>
      <c r="AL73" s="193"/>
      <c r="AM73" s="194"/>
    </row>
    <row r="74" spans="1:39" s="192" customFormat="1" ht="12.75" x14ac:dyDescent="0.2">
      <c r="A74" s="195"/>
      <c r="B74" s="195"/>
      <c r="C74" s="195"/>
      <c r="D74" s="195"/>
      <c r="E74" s="248"/>
      <c r="F74" s="248"/>
      <c r="G74" s="248"/>
      <c r="H74" s="248"/>
      <c r="I74" s="195"/>
      <c r="J74" s="195"/>
      <c r="K74" s="195"/>
      <c r="L74" s="247" t="e">
        <f t="shared" si="7"/>
        <v>#DIV/0!</v>
      </c>
      <c r="M74" s="196"/>
      <c r="N74" s="197"/>
      <c r="O74" s="198"/>
      <c r="P74" s="197"/>
      <c r="Q74" s="199"/>
      <c r="R74" s="200"/>
      <c r="S74" s="201"/>
      <c r="T74" s="198"/>
      <c r="U74" s="197"/>
      <c r="V74" s="201"/>
      <c r="W74" s="202"/>
      <c r="X74" s="197"/>
      <c r="Y74" s="201"/>
      <c r="Z74" s="202"/>
      <c r="AA74" s="197"/>
      <c r="AB74" s="201"/>
      <c r="AC74" s="203"/>
      <c r="AD74" s="204"/>
      <c r="AE74" s="205"/>
      <c r="AF74" s="202"/>
      <c r="AG74" s="80"/>
      <c r="AH74" s="81"/>
      <c r="AI74" s="206" t="str">
        <f t="shared" si="6"/>
        <v/>
      </c>
      <c r="AJ74" s="192" t="b">
        <f t="shared" si="5"/>
        <v>1</v>
      </c>
      <c r="AK74" s="191"/>
      <c r="AL74" s="193"/>
      <c r="AM74" s="194"/>
    </row>
    <row r="75" spans="1:39" s="192" customFormat="1" ht="12.75" x14ac:dyDescent="0.2">
      <c r="A75" s="195"/>
      <c r="B75" s="195"/>
      <c r="C75" s="195"/>
      <c r="D75" s="195"/>
      <c r="E75" s="248"/>
      <c r="F75" s="248"/>
      <c r="G75" s="248"/>
      <c r="H75" s="248"/>
      <c r="I75" s="195"/>
      <c r="J75" s="195"/>
      <c r="K75" s="195"/>
      <c r="L75" s="247" t="e">
        <f t="shared" si="7"/>
        <v>#DIV/0!</v>
      </c>
      <c r="M75" s="196"/>
      <c r="N75" s="197"/>
      <c r="O75" s="198"/>
      <c r="P75" s="197"/>
      <c r="Q75" s="199"/>
      <c r="R75" s="200"/>
      <c r="S75" s="201"/>
      <c r="T75" s="198"/>
      <c r="U75" s="197"/>
      <c r="V75" s="201"/>
      <c r="W75" s="202"/>
      <c r="X75" s="197"/>
      <c r="Y75" s="201"/>
      <c r="Z75" s="202"/>
      <c r="AA75" s="197"/>
      <c r="AB75" s="201"/>
      <c r="AC75" s="203"/>
      <c r="AD75" s="204"/>
      <c r="AE75" s="205"/>
      <c r="AF75" s="202"/>
      <c r="AG75" s="80"/>
      <c r="AH75" s="81"/>
      <c r="AI75" s="206" t="str">
        <f t="shared" si="6"/>
        <v/>
      </c>
      <c r="AJ75" s="192" t="b">
        <f t="shared" si="5"/>
        <v>1</v>
      </c>
      <c r="AK75" s="191"/>
      <c r="AL75" s="193"/>
      <c r="AM75" s="194"/>
    </row>
    <row r="76" spans="1:39" s="192" customFormat="1" ht="12.75" x14ac:dyDescent="0.2">
      <c r="A76" s="195"/>
      <c r="B76" s="195"/>
      <c r="C76" s="195"/>
      <c r="D76" s="195"/>
      <c r="E76" s="248"/>
      <c r="F76" s="248"/>
      <c r="G76" s="248"/>
      <c r="H76" s="248"/>
      <c r="I76" s="195"/>
      <c r="J76" s="195"/>
      <c r="K76" s="195"/>
      <c r="L76" s="247" t="e">
        <f t="shared" si="7"/>
        <v>#DIV/0!</v>
      </c>
      <c r="M76" s="196"/>
      <c r="N76" s="197"/>
      <c r="O76" s="198"/>
      <c r="P76" s="197"/>
      <c r="Q76" s="199"/>
      <c r="R76" s="200"/>
      <c r="S76" s="201"/>
      <c r="T76" s="198"/>
      <c r="U76" s="197"/>
      <c r="V76" s="201"/>
      <c r="W76" s="202"/>
      <c r="X76" s="197"/>
      <c r="Y76" s="201"/>
      <c r="Z76" s="202"/>
      <c r="AA76" s="197"/>
      <c r="AB76" s="201"/>
      <c r="AC76" s="203"/>
      <c r="AD76" s="204"/>
      <c r="AE76" s="205"/>
      <c r="AF76" s="202"/>
      <c r="AG76" s="80"/>
      <c r="AH76" s="81"/>
      <c r="AI76" s="206" t="str">
        <f t="shared" si="6"/>
        <v/>
      </c>
      <c r="AJ76" s="192" t="b">
        <f t="shared" si="5"/>
        <v>1</v>
      </c>
      <c r="AK76" s="191"/>
      <c r="AL76" s="193"/>
      <c r="AM76" s="194"/>
    </row>
    <row r="77" spans="1:39" s="192" customFormat="1" ht="12.75" x14ac:dyDescent="0.2">
      <c r="A77" s="195"/>
      <c r="B77" s="195"/>
      <c r="C77" s="195"/>
      <c r="D77" s="195"/>
      <c r="E77" s="248"/>
      <c r="F77" s="248"/>
      <c r="G77" s="248"/>
      <c r="H77" s="248"/>
      <c r="I77" s="195"/>
      <c r="J77" s="195"/>
      <c r="K77" s="195"/>
      <c r="L77" s="247" t="e">
        <f t="shared" si="7"/>
        <v>#DIV/0!</v>
      </c>
      <c r="M77" s="196"/>
      <c r="N77" s="197"/>
      <c r="O77" s="198"/>
      <c r="P77" s="197"/>
      <c r="Q77" s="199"/>
      <c r="R77" s="200"/>
      <c r="S77" s="201"/>
      <c r="T77" s="198"/>
      <c r="U77" s="197"/>
      <c r="V77" s="201"/>
      <c r="W77" s="202"/>
      <c r="X77" s="197"/>
      <c r="Y77" s="201"/>
      <c r="Z77" s="202"/>
      <c r="AA77" s="197"/>
      <c r="AB77" s="201"/>
      <c r="AC77" s="203"/>
      <c r="AD77" s="204"/>
      <c r="AE77" s="205"/>
      <c r="AF77" s="202"/>
      <c r="AG77" s="80"/>
      <c r="AH77" s="81"/>
      <c r="AI77" s="206" t="str">
        <f t="shared" si="6"/>
        <v/>
      </c>
      <c r="AJ77" s="192" t="b">
        <f t="shared" si="5"/>
        <v>1</v>
      </c>
      <c r="AK77" s="191"/>
      <c r="AL77" s="193"/>
      <c r="AM77" s="194"/>
    </row>
    <row r="78" spans="1:39" s="192" customFormat="1" ht="12.75" x14ac:dyDescent="0.2">
      <c r="A78" s="195"/>
      <c r="B78" s="195"/>
      <c r="C78" s="195"/>
      <c r="D78" s="195"/>
      <c r="E78" s="248"/>
      <c r="F78" s="248"/>
      <c r="G78" s="248"/>
      <c r="H78" s="248"/>
      <c r="I78" s="195"/>
      <c r="J78" s="195"/>
      <c r="K78" s="195"/>
      <c r="L78" s="247" t="e">
        <f t="shared" si="7"/>
        <v>#DIV/0!</v>
      </c>
      <c r="M78" s="196"/>
      <c r="N78" s="197"/>
      <c r="O78" s="198"/>
      <c r="P78" s="197"/>
      <c r="Q78" s="199"/>
      <c r="R78" s="200"/>
      <c r="S78" s="201"/>
      <c r="T78" s="198"/>
      <c r="U78" s="197"/>
      <c r="V78" s="201"/>
      <c r="W78" s="202"/>
      <c r="X78" s="197"/>
      <c r="Y78" s="201"/>
      <c r="Z78" s="202"/>
      <c r="AA78" s="197"/>
      <c r="AB78" s="201"/>
      <c r="AC78" s="203"/>
      <c r="AD78" s="204"/>
      <c r="AE78" s="205"/>
      <c r="AF78" s="202"/>
      <c r="AG78" s="80"/>
      <c r="AH78" s="81"/>
      <c r="AI78" s="206" t="str">
        <f t="shared" si="6"/>
        <v/>
      </c>
      <c r="AJ78" s="192" t="b">
        <f t="shared" si="5"/>
        <v>1</v>
      </c>
      <c r="AK78" s="191"/>
      <c r="AL78" s="193"/>
      <c r="AM78" s="194"/>
    </row>
    <row r="79" spans="1:39" s="192" customFormat="1" ht="12.75" x14ac:dyDescent="0.2">
      <c r="A79" s="195"/>
      <c r="B79" s="195"/>
      <c r="C79" s="195"/>
      <c r="D79" s="195"/>
      <c r="E79" s="248"/>
      <c r="F79" s="248"/>
      <c r="G79" s="248"/>
      <c r="H79" s="248"/>
      <c r="I79" s="195"/>
      <c r="J79" s="195"/>
      <c r="K79" s="195"/>
      <c r="L79" s="247" t="e">
        <f t="shared" si="7"/>
        <v>#DIV/0!</v>
      </c>
      <c r="M79" s="196"/>
      <c r="N79" s="197"/>
      <c r="O79" s="198"/>
      <c r="P79" s="197"/>
      <c r="Q79" s="199"/>
      <c r="R79" s="200"/>
      <c r="S79" s="201"/>
      <c r="T79" s="198"/>
      <c r="U79" s="197"/>
      <c r="V79" s="201"/>
      <c r="W79" s="202"/>
      <c r="X79" s="197"/>
      <c r="Y79" s="201"/>
      <c r="Z79" s="202"/>
      <c r="AA79" s="197"/>
      <c r="AB79" s="201"/>
      <c r="AC79" s="203"/>
      <c r="AD79" s="204"/>
      <c r="AE79" s="205"/>
      <c r="AF79" s="202"/>
      <c r="AG79" s="80"/>
      <c r="AH79" s="81"/>
      <c r="AI79" s="206" t="str">
        <f t="shared" si="6"/>
        <v/>
      </c>
      <c r="AJ79" s="192" t="b">
        <f t="shared" si="5"/>
        <v>1</v>
      </c>
      <c r="AK79" s="191"/>
      <c r="AL79" s="193"/>
      <c r="AM79" s="194"/>
    </row>
    <row r="80" spans="1:39" s="192" customFormat="1" ht="12.75" x14ac:dyDescent="0.2">
      <c r="A80" s="195"/>
      <c r="B80" s="195"/>
      <c r="C80" s="195"/>
      <c r="D80" s="195"/>
      <c r="E80" s="248"/>
      <c r="F80" s="248"/>
      <c r="G80" s="248"/>
      <c r="H80" s="248"/>
      <c r="I80" s="195"/>
      <c r="J80" s="195"/>
      <c r="K80" s="195"/>
      <c r="L80" s="247" t="e">
        <f t="shared" si="7"/>
        <v>#DIV/0!</v>
      </c>
      <c r="M80" s="196"/>
      <c r="N80" s="197"/>
      <c r="O80" s="198"/>
      <c r="P80" s="197"/>
      <c r="Q80" s="199"/>
      <c r="R80" s="200"/>
      <c r="S80" s="201"/>
      <c r="T80" s="198"/>
      <c r="U80" s="197"/>
      <c r="V80" s="201"/>
      <c r="W80" s="202"/>
      <c r="X80" s="197"/>
      <c r="Y80" s="201"/>
      <c r="Z80" s="202"/>
      <c r="AA80" s="197"/>
      <c r="AB80" s="201"/>
      <c r="AC80" s="203"/>
      <c r="AD80" s="204"/>
      <c r="AE80" s="205"/>
      <c r="AF80" s="202"/>
      <c r="AG80" s="80"/>
      <c r="AH80" s="81"/>
      <c r="AI80" s="206" t="str">
        <f t="shared" si="6"/>
        <v/>
      </c>
      <c r="AJ80" s="192" t="b">
        <f t="shared" si="5"/>
        <v>1</v>
      </c>
      <c r="AK80" s="191"/>
      <c r="AL80" s="193"/>
      <c r="AM80" s="194"/>
    </row>
    <row r="81" spans="1:39" s="192" customFormat="1" ht="12.75" x14ac:dyDescent="0.2">
      <c r="A81" s="195"/>
      <c r="B81" s="195"/>
      <c r="C81" s="195"/>
      <c r="D81" s="195"/>
      <c r="E81" s="248"/>
      <c r="F81" s="248"/>
      <c r="G81" s="248"/>
      <c r="H81" s="248"/>
      <c r="I81" s="195"/>
      <c r="J81" s="195"/>
      <c r="K81" s="195"/>
      <c r="L81" s="247" t="e">
        <f t="shared" si="7"/>
        <v>#DIV/0!</v>
      </c>
      <c r="M81" s="196"/>
      <c r="N81" s="197"/>
      <c r="O81" s="198"/>
      <c r="P81" s="197"/>
      <c r="Q81" s="199"/>
      <c r="R81" s="200"/>
      <c r="S81" s="201"/>
      <c r="T81" s="198"/>
      <c r="U81" s="197"/>
      <c r="V81" s="201"/>
      <c r="W81" s="202"/>
      <c r="X81" s="197"/>
      <c r="Y81" s="201"/>
      <c r="Z81" s="202"/>
      <c r="AA81" s="197"/>
      <c r="AB81" s="201"/>
      <c r="AC81" s="203"/>
      <c r="AD81" s="204"/>
      <c r="AE81" s="205"/>
      <c r="AF81" s="202"/>
      <c r="AG81" s="80"/>
      <c r="AH81" s="81"/>
      <c r="AI81" s="206" t="str">
        <f t="shared" si="6"/>
        <v/>
      </c>
      <c r="AJ81" s="192" t="b">
        <f t="shared" si="5"/>
        <v>1</v>
      </c>
      <c r="AK81" s="191"/>
      <c r="AL81" s="193"/>
      <c r="AM81" s="194"/>
    </row>
    <row r="82" spans="1:39" s="192" customFormat="1" ht="12.75" x14ac:dyDescent="0.2">
      <c r="A82" s="195"/>
      <c r="B82" s="195"/>
      <c r="C82" s="195"/>
      <c r="D82" s="195"/>
      <c r="E82" s="248"/>
      <c r="F82" s="248"/>
      <c r="G82" s="248"/>
      <c r="H82" s="248"/>
      <c r="I82" s="195"/>
      <c r="J82" s="195"/>
      <c r="K82" s="195"/>
      <c r="L82" s="247" t="e">
        <f t="shared" si="7"/>
        <v>#DIV/0!</v>
      </c>
      <c r="M82" s="196"/>
      <c r="N82" s="197"/>
      <c r="O82" s="198"/>
      <c r="P82" s="197"/>
      <c r="Q82" s="199"/>
      <c r="R82" s="200"/>
      <c r="S82" s="201"/>
      <c r="T82" s="198"/>
      <c r="U82" s="197"/>
      <c r="V82" s="201"/>
      <c r="W82" s="202"/>
      <c r="X82" s="197"/>
      <c r="Y82" s="201"/>
      <c r="Z82" s="202"/>
      <c r="AA82" s="197"/>
      <c r="AB82" s="201"/>
      <c r="AC82" s="203"/>
      <c r="AD82" s="204"/>
      <c r="AE82" s="205"/>
      <c r="AF82" s="202"/>
      <c r="AG82" s="80"/>
      <c r="AH82" s="81"/>
      <c r="AI82" s="206" t="str">
        <f t="shared" si="6"/>
        <v/>
      </c>
      <c r="AJ82" s="192" t="b">
        <f t="shared" si="5"/>
        <v>1</v>
      </c>
      <c r="AK82" s="191"/>
      <c r="AL82" s="193"/>
      <c r="AM82" s="194"/>
    </row>
    <row r="83" spans="1:39" s="192" customFormat="1" ht="12.75" x14ac:dyDescent="0.2">
      <c r="A83" s="195"/>
      <c r="B83" s="195"/>
      <c r="C83" s="195"/>
      <c r="D83" s="195"/>
      <c r="E83" s="248"/>
      <c r="F83" s="248"/>
      <c r="G83" s="248"/>
      <c r="H83" s="248"/>
      <c r="I83" s="195"/>
      <c r="J83" s="195"/>
      <c r="K83" s="195"/>
      <c r="L83" s="247" t="e">
        <f t="shared" si="7"/>
        <v>#DIV/0!</v>
      </c>
      <c r="M83" s="196"/>
      <c r="N83" s="197"/>
      <c r="O83" s="198"/>
      <c r="P83" s="197"/>
      <c r="Q83" s="199"/>
      <c r="R83" s="200"/>
      <c r="S83" s="201"/>
      <c r="T83" s="198"/>
      <c r="U83" s="197"/>
      <c r="V83" s="201"/>
      <c r="W83" s="202"/>
      <c r="X83" s="197"/>
      <c r="Y83" s="201"/>
      <c r="Z83" s="202"/>
      <c r="AA83" s="197"/>
      <c r="AB83" s="201"/>
      <c r="AC83" s="203"/>
      <c r="AD83" s="204"/>
      <c r="AE83" s="205"/>
      <c r="AF83" s="202"/>
      <c r="AG83" s="80"/>
      <c r="AH83" s="81"/>
      <c r="AI83" s="206" t="str">
        <f t="shared" si="6"/>
        <v/>
      </c>
      <c r="AJ83" s="192" t="b">
        <f t="shared" si="5"/>
        <v>1</v>
      </c>
      <c r="AK83" s="191"/>
      <c r="AL83" s="193"/>
      <c r="AM83" s="194"/>
    </row>
    <row r="84" spans="1:39" s="192" customFormat="1" ht="12.75" x14ac:dyDescent="0.2">
      <c r="A84" s="195"/>
      <c r="B84" s="195"/>
      <c r="C84" s="195"/>
      <c r="D84" s="195"/>
      <c r="E84" s="248"/>
      <c r="F84" s="248"/>
      <c r="G84" s="248"/>
      <c r="H84" s="248"/>
      <c r="I84" s="195"/>
      <c r="J84" s="195"/>
      <c r="K84" s="195"/>
      <c r="L84" s="247" t="e">
        <f t="shared" si="7"/>
        <v>#DIV/0!</v>
      </c>
      <c r="M84" s="196"/>
      <c r="N84" s="197"/>
      <c r="O84" s="198"/>
      <c r="P84" s="197"/>
      <c r="Q84" s="199"/>
      <c r="R84" s="200"/>
      <c r="S84" s="201"/>
      <c r="T84" s="198"/>
      <c r="U84" s="197"/>
      <c r="V84" s="201"/>
      <c r="W84" s="202"/>
      <c r="X84" s="197"/>
      <c r="Y84" s="201"/>
      <c r="Z84" s="202"/>
      <c r="AA84" s="197"/>
      <c r="AB84" s="201"/>
      <c r="AC84" s="203"/>
      <c r="AD84" s="204"/>
      <c r="AE84" s="205"/>
      <c r="AF84" s="202"/>
      <c r="AG84" s="80"/>
      <c r="AH84" s="81"/>
      <c r="AI84" s="206" t="str">
        <f t="shared" si="6"/>
        <v/>
      </c>
      <c r="AJ84" s="192" t="b">
        <f t="shared" si="5"/>
        <v>1</v>
      </c>
      <c r="AK84" s="191"/>
      <c r="AL84" s="193"/>
      <c r="AM84" s="194"/>
    </row>
    <row r="85" spans="1:39" s="192" customFormat="1" ht="12.75" x14ac:dyDescent="0.2">
      <c r="A85" s="195"/>
      <c r="B85" s="195"/>
      <c r="C85" s="195"/>
      <c r="D85" s="195"/>
      <c r="E85" s="248"/>
      <c r="F85" s="248"/>
      <c r="G85" s="248"/>
      <c r="H85" s="248"/>
      <c r="I85" s="195"/>
      <c r="J85" s="195"/>
      <c r="K85" s="195"/>
      <c r="L85" s="247" t="e">
        <f t="shared" si="7"/>
        <v>#DIV/0!</v>
      </c>
      <c r="M85" s="196"/>
      <c r="N85" s="197"/>
      <c r="O85" s="198"/>
      <c r="P85" s="197"/>
      <c r="Q85" s="199"/>
      <c r="R85" s="200"/>
      <c r="S85" s="201"/>
      <c r="T85" s="198"/>
      <c r="U85" s="197"/>
      <c r="V85" s="201"/>
      <c r="W85" s="202"/>
      <c r="X85" s="197"/>
      <c r="Y85" s="201"/>
      <c r="Z85" s="202"/>
      <c r="AA85" s="197"/>
      <c r="AB85" s="201"/>
      <c r="AC85" s="203"/>
      <c r="AD85" s="204"/>
      <c r="AE85" s="205"/>
      <c r="AF85" s="202"/>
      <c r="AG85" s="80"/>
      <c r="AH85" s="81"/>
      <c r="AI85" s="206" t="str">
        <f t="shared" si="6"/>
        <v/>
      </c>
      <c r="AJ85" s="192" t="b">
        <f t="shared" si="5"/>
        <v>1</v>
      </c>
      <c r="AK85" s="191"/>
      <c r="AL85" s="193"/>
      <c r="AM85" s="194"/>
    </row>
    <row r="86" spans="1:39" s="192" customFormat="1" ht="12.75" x14ac:dyDescent="0.2">
      <c r="A86" s="195"/>
      <c r="B86" s="195"/>
      <c r="C86" s="195"/>
      <c r="D86" s="195"/>
      <c r="E86" s="248"/>
      <c r="F86" s="248"/>
      <c r="G86" s="248"/>
      <c r="H86" s="248"/>
      <c r="I86" s="195"/>
      <c r="J86" s="195"/>
      <c r="K86" s="195"/>
      <c r="L86" s="247" t="e">
        <f t="shared" si="7"/>
        <v>#DIV/0!</v>
      </c>
      <c r="M86" s="196"/>
      <c r="N86" s="197"/>
      <c r="O86" s="198"/>
      <c r="P86" s="197"/>
      <c r="Q86" s="199"/>
      <c r="R86" s="200"/>
      <c r="S86" s="201"/>
      <c r="T86" s="198"/>
      <c r="U86" s="197"/>
      <c r="V86" s="201"/>
      <c r="W86" s="202"/>
      <c r="X86" s="197"/>
      <c r="Y86" s="201"/>
      <c r="Z86" s="202"/>
      <c r="AA86" s="197"/>
      <c r="AB86" s="201"/>
      <c r="AC86" s="203"/>
      <c r="AD86" s="204"/>
      <c r="AE86" s="205"/>
      <c r="AF86" s="202"/>
      <c r="AG86" s="80"/>
      <c r="AH86" s="81"/>
      <c r="AI86" s="206" t="str">
        <f t="shared" si="6"/>
        <v/>
      </c>
      <c r="AJ86" s="192" t="b">
        <f t="shared" si="5"/>
        <v>1</v>
      </c>
      <c r="AK86" s="191"/>
      <c r="AL86" s="193"/>
      <c r="AM86" s="194"/>
    </row>
    <row r="87" spans="1:39" s="192" customFormat="1" ht="12.75" x14ac:dyDescent="0.2">
      <c r="A87" s="195"/>
      <c r="B87" s="195"/>
      <c r="C87" s="195"/>
      <c r="D87" s="195"/>
      <c r="E87" s="248"/>
      <c r="F87" s="248"/>
      <c r="G87" s="248"/>
      <c r="H87" s="248"/>
      <c r="I87" s="195"/>
      <c r="J87" s="195"/>
      <c r="K87" s="195"/>
      <c r="L87" s="247" t="e">
        <f t="shared" si="7"/>
        <v>#DIV/0!</v>
      </c>
      <c r="M87" s="196"/>
      <c r="N87" s="197"/>
      <c r="O87" s="198"/>
      <c r="P87" s="197"/>
      <c r="Q87" s="199"/>
      <c r="R87" s="200"/>
      <c r="S87" s="201"/>
      <c r="T87" s="198"/>
      <c r="U87" s="197"/>
      <c r="V87" s="201"/>
      <c r="W87" s="202"/>
      <c r="X87" s="197"/>
      <c r="Y87" s="201"/>
      <c r="Z87" s="202"/>
      <c r="AA87" s="197"/>
      <c r="AB87" s="201"/>
      <c r="AC87" s="203"/>
      <c r="AD87" s="204"/>
      <c r="AE87" s="205"/>
      <c r="AF87" s="202"/>
      <c r="AG87" s="80"/>
      <c r="AH87" s="81"/>
      <c r="AI87" s="206" t="str">
        <f t="shared" si="6"/>
        <v/>
      </c>
      <c r="AJ87" s="192" t="b">
        <f t="shared" si="5"/>
        <v>1</v>
      </c>
      <c r="AK87" s="191"/>
      <c r="AL87" s="193"/>
      <c r="AM87" s="194"/>
    </row>
    <row r="88" spans="1:39" s="192" customFormat="1" ht="12.75" x14ac:dyDescent="0.2">
      <c r="A88" s="195"/>
      <c r="B88" s="195"/>
      <c r="C88" s="195"/>
      <c r="D88" s="195"/>
      <c r="E88" s="248"/>
      <c r="F88" s="248"/>
      <c r="G88" s="248"/>
      <c r="H88" s="248"/>
      <c r="I88" s="195"/>
      <c r="J88" s="195"/>
      <c r="K88" s="195"/>
      <c r="L88" s="247" t="e">
        <f t="shared" si="7"/>
        <v>#DIV/0!</v>
      </c>
      <c r="M88" s="196"/>
      <c r="N88" s="197"/>
      <c r="O88" s="198"/>
      <c r="P88" s="197"/>
      <c r="Q88" s="199"/>
      <c r="R88" s="200"/>
      <c r="S88" s="201"/>
      <c r="T88" s="198"/>
      <c r="U88" s="197"/>
      <c r="V88" s="201"/>
      <c r="W88" s="202"/>
      <c r="X88" s="197"/>
      <c r="Y88" s="201"/>
      <c r="Z88" s="202"/>
      <c r="AA88" s="197"/>
      <c r="AB88" s="201"/>
      <c r="AC88" s="203"/>
      <c r="AD88" s="204"/>
      <c r="AE88" s="205"/>
      <c r="AF88" s="202"/>
      <c r="AG88" s="80"/>
      <c r="AH88" s="81"/>
      <c r="AI88" s="206" t="str">
        <f t="shared" si="6"/>
        <v/>
      </c>
      <c r="AJ88" s="192" t="b">
        <f t="shared" si="5"/>
        <v>1</v>
      </c>
      <c r="AK88" s="191"/>
      <c r="AL88" s="193"/>
      <c r="AM88" s="194"/>
    </row>
    <row r="89" spans="1:39" s="192" customFormat="1" ht="12.75" x14ac:dyDescent="0.2">
      <c r="A89" s="195"/>
      <c r="B89" s="195"/>
      <c r="C89" s="195"/>
      <c r="D89" s="195"/>
      <c r="E89" s="248"/>
      <c r="F89" s="248"/>
      <c r="G89" s="248"/>
      <c r="H89" s="248"/>
      <c r="I89" s="195"/>
      <c r="J89" s="195"/>
      <c r="K89" s="195"/>
      <c r="L89" s="247" t="e">
        <f t="shared" si="7"/>
        <v>#DIV/0!</v>
      </c>
      <c r="M89" s="196"/>
      <c r="N89" s="197"/>
      <c r="O89" s="198"/>
      <c r="P89" s="197"/>
      <c r="Q89" s="199"/>
      <c r="R89" s="200"/>
      <c r="S89" s="201"/>
      <c r="T89" s="198"/>
      <c r="U89" s="197"/>
      <c r="V89" s="201"/>
      <c r="W89" s="202"/>
      <c r="X89" s="197"/>
      <c r="Y89" s="201"/>
      <c r="Z89" s="202"/>
      <c r="AA89" s="197"/>
      <c r="AB89" s="201"/>
      <c r="AC89" s="203"/>
      <c r="AD89" s="204"/>
      <c r="AE89" s="205"/>
      <c r="AF89" s="202"/>
      <c r="AG89" s="80"/>
      <c r="AH89" s="81"/>
      <c r="AI89" s="206" t="str">
        <f t="shared" si="6"/>
        <v/>
      </c>
      <c r="AJ89" s="192" t="b">
        <f t="shared" si="5"/>
        <v>1</v>
      </c>
      <c r="AK89" s="191"/>
      <c r="AL89" s="193"/>
      <c r="AM89" s="194"/>
    </row>
    <row r="90" spans="1:39" s="192" customFormat="1" ht="12.75" x14ac:dyDescent="0.2">
      <c r="A90" s="195"/>
      <c r="B90" s="195"/>
      <c r="C90" s="195"/>
      <c r="D90" s="195"/>
      <c r="E90" s="248"/>
      <c r="F90" s="248"/>
      <c r="G90" s="248"/>
      <c r="H90" s="248"/>
      <c r="I90" s="195"/>
      <c r="J90" s="195"/>
      <c r="K90" s="195"/>
      <c r="L90" s="247" t="e">
        <f t="shared" si="7"/>
        <v>#DIV/0!</v>
      </c>
      <c r="M90" s="196"/>
      <c r="N90" s="197"/>
      <c r="O90" s="198"/>
      <c r="P90" s="197"/>
      <c r="Q90" s="199"/>
      <c r="R90" s="200"/>
      <c r="S90" s="201"/>
      <c r="T90" s="198"/>
      <c r="U90" s="197"/>
      <c r="V90" s="201"/>
      <c r="W90" s="202"/>
      <c r="X90" s="197"/>
      <c r="Y90" s="201"/>
      <c r="Z90" s="202"/>
      <c r="AA90" s="197"/>
      <c r="AB90" s="201"/>
      <c r="AC90" s="203"/>
      <c r="AD90" s="204"/>
      <c r="AE90" s="205"/>
      <c r="AF90" s="202"/>
      <c r="AG90" s="80"/>
      <c r="AH90" s="81"/>
      <c r="AI90" s="206" t="str">
        <f t="shared" si="6"/>
        <v/>
      </c>
      <c r="AJ90" s="192" t="b">
        <f t="shared" si="5"/>
        <v>1</v>
      </c>
      <c r="AK90" s="191"/>
      <c r="AL90" s="193"/>
      <c r="AM90" s="194"/>
    </row>
    <row r="91" spans="1:39" s="192" customFormat="1" ht="12.75" x14ac:dyDescent="0.2">
      <c r="A91" s="195"/>
      <c r="B91" s="195"/>
      <c r="C91" s="195"/>
      <c r="D91" s="195"/>
      <c r="E91" s="248"/>
      <c r="F91" s="248"/>
      <c r="G91" s="248"/>
      <c r="H91" s="248"/>
      <c r="I91" s="195"/>
      <c r="J91" s="195"/>
      <c r="K91" s="195"/>
      <c r="L91" s="247" t="e">
        <f t="shared" si="7"/>
        <v>#DIV/0!</v>
      </c>
      <c r="M91" s="196"/>
      <c r="N91" s="197"/>
      <c r="O91" s="198"/>
      <c r="P91" s="197"/>
      <c r="Q91" s="199"/>
      <c r="R91" s="200"/>
      <c r="S91" s="201"/>
      <c r="T91" s="198"/>
      <c r="U91" s="197"/>
      <c r="V91" s="201"/>
      <c r="W91" s="202"/>
      <c r="X91" s="197"/>
      <c r="Y91" s="201"/>
      <c r="Z91" s="202"/>
      <c r="AA91" s="197"/>
      <c r="AB91" s="201"/>
      <c r="AC91" s="203"/>
      <c r="AD91" s="204"/>
      <c r="AE91" s="205"/>
      <c r="AF91" s="202"/>
      <c r="AG91" s="80"/>
      <c r="AH91" s="81"/>
      <c r="AI91" s="206" t="str">
        <f t="shared" si="6"/>
        <v/>
      </c>
      <c r="AJ91" s="192" t="b">
        <f t="shared" si="5"/>
        <v>1</v>
      </c>
      <c r="AK91" s="191"/>
      <c r="AL91" s="193"/>
      <c r="AM91" s="194"/>
    </row>
    <row r="92" spans="1:39" s="192" customFormat="1" ht="12.75" x14ac:dyDescent="0.2">
      <c r="A92" s="195"/>
      <c r="B92" s="195"/>
      <c r="C92" s="195"/>
      <c r="D92" s="195"/>
      <c r="E92" s="248"/>
      <c r="F92" s="248"/>
      <c r="G92" s="248"/>
      <c r="H92" s="248"/>
      <c r="I92" s="195"/>
      <c r="J92" s="195"/>
      <c r="K92" s="195"/>
      <c r="L92" s="247" t="e">
        <f t="shared" si="7"/>
        <v>#DIV/0!</v>
      </c>
      <c r="M92" s="196"/>
      <c r="N92" s="197"/>
      <c r="O92" s="198"/>
      <c r="P92" s="197"/>
      <c r="Q92" s="199"/>
      <c r="R92" s="200"/>
      <c r="S92" s="201"/>
      <c r="T92" s="198"/>
      <c r="U92" s="197"/>
      <c r="V92" s="201"/>
      <c r="W92" s="202"/>
      <c r="X92" s="197"/>
      <c r="Y92" s="201"/>
      <c r="Z92" s="202"/>
      <c r="AA92" s="197"/>
      <c r="AB92" s="201"/>
      <c r="AC92" s="203"/>
      <c r="AD92" s="204"/>
      <c r="AE92" s="205"/>
      <c r="AF92" s="202"/>
      <c r="AG92" s="80"/>
      <c r="AH92" s="81"/>
      <c r="AI92" s="206" t="str">
        <f t="shared" si="6"/>
        <v/>
      </c>
      <c r="AJ92" s="192" t="b">
        <f t="shared" si="5"/>
        <v>1</v>
      </c>
      <c r="AK92" s="191"/>
      <c r="AL92" s="193"/>
      <c r="AM92" s="194"/>
    </row>
    <row r="93" spans="1:39" s="192" customFormat="1" ht="12.75" x14ac:dyDescent="0.2">
      <c r="A93" s="195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247" t="e">
        <f t="shared" si="7"/>
        <v>#DIV/0!</v>
      </c>
      <c r="M93" s="196"/>
      <c r="N93" s="197"/>
      <c r="O93" s="198"/>
      <c r="P93" s="197"/>
      <c r="Q93" s="199"/>
      <c r="R93" s="200"/>
      <c r="S93" s="201"/>
      <c r="T93" s="198"/>
      <c r="U93" s="197"/>
      <c r="V93" s="201"/>
      <c r="W93" s="202"/>
      <c r="X93" s="197"/>
      <c r="Y93" s="201"/>
      <c r="Z93" s="202"/>
      <c r="AA93" s="197"/>
      <c r="AB93" s="201"/>
      <c r="AC93" s="203"/>
      <c r="AD93" s="204"/>
      <c r="AE93" s="205"/>
      <c r="AF93" s="202"/>
      <c r="AG93" s="80"/>
      <c r="AH93" s="81"/>
      <c r="AI93" s="206" t="str">
        <f t="shared" si="6"/>
        <v/>
      </c>
      <c r="AJ93" s="192" t="b">
        <f t="shared" si="5"/>
        <v>1</v>
      </c>
      <c r="AK93" s="191"/>
      <c r="AL93" s="193"/>
      <c r="AM93" s="194"/>
    </row>
    <row r="94" spans="1:39" s="192" customFormat="1" ht="12.75" x14ac:dyDescent="0.2">
      <c r="A94" s="195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247" t="e">
        <f t="shared" si="7"/>
        <v>#DIV/0!</v>
      </c>
      <c r="M94" s="196"/>
      <c r="N94" s="197"/>
      <c r="O94" s="198"/>
      <c r="P94" s="197"/>
      <c r="Q94" s="199"/>
      <c r="R94" s="200"/>
      <c r="S94" s="201"/>
      <c r="T94" s="198"/>
      <c r="U94" s="197"/>
      <c r="V94" s="201"/>
      <c r="W94" s="202"/>
      <c r="X94" s="197"/>
      <c r="Y94" s="201"/>
      <c r="Z94" s="202"/>
      <c r="AA94" s="197"/>
      <c r="AB94" s="201"/>
      <c r="AC94" s="203"/>
      <c r="AD94" s="204"/>
      <c r="AE94" s="205"/>
      <c r="AF94" s="202"/>
      <c r="AG94" s="80"/>
      <c r="AH94" s="81"/>
      <c r="AI94" s="206" t="str">
        <f t="shared" si="6"/>
        <v/>
      </c>
      <c r="AJ94" s="192" t="b">
        <f t="shared" si="5"/>
        <v>1</v>
      </c>
      <c r="AK94" s="191"/>
      <c r="AL94" s="193"/>
      <c r="AM94" s="194"/>
    </row>
    <row r="95" spans="1:39" s="192" customFormat="1" ht="12.75" x14ac:dyDescent="0.2">
      <c r="A95" s="195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247" t="e">
        <f t="shared" si="7"/>
        <v>#DIV/0!</v>
      </c>
      <c r="M95" s="196"/>
      <c r="N95" s="197"/>
      <c r="O95" s="198"/>
      <c r="P95" s="197"/>
      <c r="Q95" s="199"/>
      <c r="R95" s="200"/>
      <c r="S95" s="201"/>
      <c r="T95" s="198"/>
      <c r="U95" s="197"/>
      <c r="V95" s="201"/>
      <c r="W95" s="202"/>
      <c r="X95" s="197"/>
      <c r="Y95" s="201"/>
      <c r="Z95" s="202"/>
      <c r="AA95" s="197"/>
      <c r="AB95" s="201"/>
      <c r="AC95" s="203"/>
      <c r="AD95" s="204"/>
      <c r="AE95" s="205"/>
      <c r="AF95" s="202"/>
      <c r="AG95" s="80"/>
      <c r="AH95" s="81"/>
      <c r="AI95" s="206" t="str">
        <f t="shared" si="6"/>
        <v/>
      </c>
      <c r="AJ95" s="192" t="b">
        <f t="shared" si="5"/>
        <v>1</v>
      </c>
      <c r="AK95" s="191"/>
      <c r="AL95" s="193"/>
      <c r="AM95" s="194"/>
    </row>
    <row r="96" spans="1:39" s="192" customFormat="1" ht="12.75" x14ac:dyDescent="0.2">
      <c r="A96" s="195"/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247" t="e">
        <f t="shared" si="7"/>
        <v>#DIV/0!</v>
      </c>
      <c r="M96" s="196"/>
      <c r="N96" s="197"/>
      <c r="O96" s="198"/>
      <c r="P96" s="197"/>
      <c r="Q96" s="199"/>
      <c r="R96" s="200"/>
      <c r="S96" s="201"/>
      <c r="T96" s="198"/>
      <c r="U96" s="197"/>
      <c r="V96" s="201"/>
      <c r="W96" s="202"/>
      <c r="X96" s="197"/>
      <c r="Y96" s="201"/>
      <c r="Z96" s="202"/>
      <c r="AA96" s="197"/>
      <c r="AB96" s="201"/>
      <c r="AC96" s="203"/>
      <c r="AD96" s="204"/>
      <c r="AE96" s="205"/>
      <c r="AF96" s="202"/>
      <c r="AG96" s="80"/>
      <c r="AH96" s="81"/>
      <c r="AI96" s="206" t="str">
        <f t="shared" si="6"/>
        <v/>
      </c>
      <c r="AJ96" s="192" t="b">
        <f t="shared" si="5"/>
        <v>1</v>
      </c>
      <c r="AK96" s="191"/>
      <c r="AL96" s="193"/>
      <c r="AM96" s="194"/>
    </row>
    <row r="97" spans="1:39" s="192" customFormat="1" ht="12.75" x14ac:dyDescent="0.2">
      <c r="A97" s="195"/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247" t="e">
        <f t="shared" si="7"/>
        <v>#DIV/0!</v>
      </c>
      <c r="M97" s="196"/>
      <c r="N97" s="197"/>
      <c r="O97" s="198"/>
      <c r="P97" s="197"/>
      <c r="Q97" s="199"/>
      <c r="R97" s="200"/>
      <c r="S97" s="201"/>
      <c r="T97" s="198"/>
      <c r="U97" s="197"/>
      <c r="V97" s="201"/>
      <c r="W97" s="202"/>
      <c r="X97" s="197"/>
      <c r="Y97" s="201"/>
      <c r="Z97" s="202"/>
      <c r="AA97" s="197"/>
      <c r="AB97" s="201"/>
      <c r="AC97" s="203"/>
      <c r="AD97" s="204"/>
      <c r="AE97" s="205"/>
      <c r="AF97" s="202"/>
      <c r="AG97" s="80"/>
      <c r="AH97" s="81"/>
      <c r="AI97" s="206" t="str">
        <f t="shared" si="6"/>
        <v/>
      </c>
      <c r="AJ97" s="192" t="b">
        <f t="shared" si="5"/>
        <v>1</v>
      </c>
      <c r="AK97" s="191"/>
      <c r="AL97" s="193"/>
      <c r="AM97" s="194"/>
    </row>
    <row r="98" spans="1:39" s="192" customFormat="1" ht="12.75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247" t="e">
        <f t="shared" si="7"/>
        <v>#DIV/0!</v>
      </c>
      <c r="M98" s="196"/>
      <c r="N98" s="207"/>
      <c r="O98" s="208"/>
      <c r="P98" s="207"/>
      <c r="Q98" s="209"/>
      <c r="R98" s="210"/>
      <c r="S98" s="211"/>
      <c r="T98" s="212"/>
      <c r="U98" s="207"/>
      <c r="V98" s="213"/>
      <c r="W98" s="214"/>
      <c r="X98" s="207"/>
      <c r="Y98" s="213"/>
      <c r="Z98" s="214"/>
      <c r="AA98" s="207"/>
      <c r="AB98" s="213"/>
      <c r="AC98" s="215"/>
      <c r="AD98" s="216"/>
      <c r="AE98" s="217"/>
      <c r="AF98" s="214"/>
      <c r="AG98" s="80"/>
      <c r="AH98" s="81"/>
      <c r="AI98" s="206" t="str">
        <f t="shared" si="6"/>
        <v/>
      </c>
      <c r="AJ98" s="192" t="b">
        <f t="shared" si="5"/>
        <v>1</v>
      </c>
      <c r="AK98" s="191"/>
      <c r="AL98" s="193"/>
      <c r="AM98" s="194"/>
    </row>
  </sheetData>
  <sheetProtection sheet="1" objects="1" scenarios="1"/>
  <sortState ref="A6:AC32">
    <sortCondition ref="A6:A32"/>
  </sortState>
  <customSheetViews>
    <customSheetView guid="{8CC68E3D-021C-4AA8-BD8C-67EF8AC42F21}">
      <selection activeCell="G13" sqref="G13"/>
      <pageMargins left="0.7" right="0.7" top="0.75" bottom="0.75" header="0.3" footer="0.3"/>
      <pageSetup orientation="portrait" r:id="rId1"/>
    </customSheetView>
  </customSheetViews>
  <mergeCells count="11">
    <mergeCell ref="AK3:AL3"/>
    <mergeCell ref="AA3:AC3"/>
    <mergeCell ref="P3:Q3"/>
    <mergeCell ref="AG3:AH3"/>
    <mergeCell ref="J3:L3"/>
    <mergeCell ref="B3:C3"/>
    <mergeCell ref="R3:T3"/>
    <mergeCell ref="U3:W3"/>
    <mergeCell ref="X3:Z3"/>
    <mergeCell ref="AD3:AF3"/>
    <mergeCell ref="E3:F3"/>
  </mergeCells>
  <conditionalFormatting sqref="AJ32:AJ98">
    <cfRule type="cellIs" dxfId="6" priority="7" operator="equal">
      <formula>FALSE</formula>
    </cfRule>
  </conditionalFormatting>
  <conditionalFormatting sqref="AJ6:AJ100">
    <cfRule type="cellIs" dxfId="5" priority="6" operator="equal">
      <formula>TRUE</formula>
    </cfRule>
  </conditionalFormatting>
  <conditionalFormatting sqref="A22:D31 A21 I6:W7 I8:K31 M8:W31 L8:L98 A6:D20">
    <cfRule type="containsBlanks" dxfId="4" priority="5">
      <formula>LEN(TRIM(A6))=0</formula>
    </cfRule>
  </conditionalFormatting>
  <conditionalFormatting sqref="A2:XFD2">
    <cfRule type="containsBlanks" dxfId="3" priority="4">
      <formula>LEN(TRIM(A2))=0</formula>
    </cfRule>
  </conditionalFormatting>
  <conditionalFormatting sqref="B21:D21">
    <cfRule type="containsBlanks" dxfId="2" priority="1">
      <formula>LEN(TRIM(B21))=0</formula>
    </cfRule>
  </conditionalFormatting>
  <pageMargins left="0.7" right="0.7" top="0.75" bottom="0.75" header="0.3" footer="0.3"/>
  <pageSetup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/>
  </sheetViews>
  <sheetFormatPr defaultColWidth="10.42578125" defaultRowHeight="12.75" x14ac:dyDescent="0.2"/>
  <cols>
    <col min="1" max="1" width="10.42578125" style="30"/>
    <col min="2" max="2" width="10.5703125" style="30" customWidth="1"/>
    <col min="3" max="16384" width="10.42578125" style="30"/>
  </cols>
  <sheetData>
    <row r="1" spans="1:19" x14ac:dyDescent="0.2">
      <c r="A1" s="30" t="str">
        <f>'TC012'!B4</f>
        <v>START HERE</v>
      </c>
      <c r="C1" s="30" t="str">
        <f>CONCATENATE(A1,", ",A2)</f>
        <v>START HERE, 0</v>
      </c>
    </row>
    <row r="2" spans="1:19" ht="13.5" thickBot="1" x14ac:dyDescent="0.25">
      <c r="A2" s="30">
        <f>'TC012'!B5</f>
        <v>0</v>
      </c>
      <c r="O2" s="30" t="str">
        <f>IF('TC012'!L9="","",'TC012'!L9)</f>
        <v/>
      </c>
    </row>
    <row r="3" spans="1:19" x14ac:dyDescent="0.2">
      <c r="A3" s="27"/>
      <c r="B3" s="308" t="str">
        <f>IF('TC012'!AQ12="","",'TC012'!AQ12)</f>
        <v>Acceleration Compensation</v>
      </c>
      <c r="C3" s="309"/>
      <c r="D3" s="310"/>
      <c r="E3" s="28" t="s">
        <v>73</v>
      </c>
      <c r="F3" s="29"/>
    </row>
    <row r="4" spans="1:19" x14ac:dyDescent="0.2">
      <c r="A4" s="31" t="str">
        <f>IF('TC012'!A13="","",'TC012'!A13)</f>
        <v>Symbol #</v>
      </c>
      <c r="B4" s="32" t="str">
        <f>IF('TC012'!AQ13="","",'TC012'!AQ13)</f>
        <v>By:</v>
      </c>
      <c r="C4" s="33" t="str">
        <f>IF('TC012'!AR13="","",'TC012'!AR13)</f>
        <v>By:</v>
      </c>
      <c r="D4" s="34" t="str">
        <f>IF('TC012'!AS13="","",'TC012'!AS13)</f>
        <v>By:</v>
      </c>
      <c r="E4" s="35" t="str">
        <f>IF('TC012'!AT13="","",'TC012'!AT13)</f>
        <v>Output after last trim</v>
      </c>
      <c r="F4" s="34" t="s">
        <v>81</v>
      </c>
    </row>
    <row r="5" spans="1:19" s="39" customFormat="1" x14ac:dyDescent="0.2">
      <c r="A5" s="31" t="str">
        <f>IF('TC012'!A14="","",'TC012'!A14)</f>
        <v/>
      </c>
      <c r="B5" s="36" t="e">
        <f>IF('TC012'!AQ14="",NA(),'TC012'!AQ14)</f>
        <v>#N/A</v>
      </c>
      <c r="C5" s="36" t="e">
        <f>IF('TC012'!AR14="",NA(),'TC012'!AR14)</f>
        <v>#N/A</v>
      </c>
      <c r="D5" s="36" t="e">
        <f>IF('TC012'!AS14="",NA(),'TC012'!AS14)</f>
        <v>#N/A</v>
      </c>
      <c r="E5" s="37" t="str">
        <f>IF('TC012'!AT14="","",'TC012'!AT14)</f>
        <v/>
      </c>
      <c r="F5" s="38">
        <f>IF('TC012'!K14="",0,'TC012'!K14)</f>
        <v>0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x14ac:dyDescent="0.2">
      <c r="A6" s="31" t="str">
        <f>IF('TC012'!A15="","",'TC012'!A15)</f>
        <v/>
      </c>
      <c r="B6" s="36" t="e">
        <f>IF('TC012'!AQ15="",NA(),'TC012'!AQ15)</f>
        <v>#N/A</v>
      </c>
      <c r="C6" s="36" t="e">
        <f>IF('TC012'!AR15="",NA(),'TC012'!AR15)</f>
        <v>#N/A</v>
      </c>
      <c r="D6" s="36" t="e">
        <f>IF('TC012'!AS15="",NA(),'TC012'!AS15)</f>
        <v>#N/A</v>
      </c>
      <c r="E6" s="37" t="str">
        <f>IF('TC012'!AT15="","",'TC012'!AT15)</f>
        <v/>
      </c>
      <c r="F6" s="38">
        <f>IF('TC012'!K15="",0,'TC012'!K15)</f>
        <v>0</v>
      </c>
    </row>
    <row r="7" spans="1:19" x14ac:dyDescent="0.2">
      <c r="A7" s="31" t="str">
        <f>IF('TC012'!A16="","",'TC012'!A16)</f>
        <v/>
      </c>
      <c r="B7" s="36" t="e">
        <f>IF('TC012'!AQ16="",NA(),'TC012'!AQ16)</f>
        <v>#N/A</v>
      </c>
      <c r="C7" s="36" t="e">
        <f>IF('TC012'!AR16="",NA(),'TC012'!AR16)</f>
        <v>#N/A</v>
      </c>
      <c r="D7" s="36" t="e">
        <f>IF('TC012'!AS16="",NA(),'TC012'!AS16)</f>
        <v>#N/A</v>
      </c>
      <c r="E7" s="37" t="str">
        <f>IF('TC012'!AT16="","",'TC012'!AT16)</f>
        <v/>
      </c>
      <c r="F7" s="38">
        <f>IF('TC012'!K16="",0,'TC012'!K16)</f>
        <v>0</v>
      </c>
    </row>
    <row r="8" spans="1:19" x14ac:dyDescent="0.2">
      <c r="A8" s="31" t="str">
        <f>IF('TC012'!A17="","",'TC012'!A17)</f>
        <v/>
      </c>
      <c r="B8" s="36" t="e">
        <f>IF('TC012'!AQ17="",NA(),'TC012'!AQ17)</f>
        <v>#N/A</v>
      </c>
      <c r="C8" s="36" t="e">
        <f>IF('TC012'!AR17="",NA(),'TC012'!AR17)</f>
        <v>#N/A</v>
      </c>
      <c r="D8" s="36" t="e">
        <f>IF('TC012'!AS17="",NA(),'TC012'!AS17)</f>
        <v>#N/A</v>
      </c>
      <c r="E8" s="37" t="str">
        <f>IF('TC012'!AT17="","",'TC012'!AT17)</f>
        <v/>
      </c>
      <c r="F8" s="38">
        <f>IF('TC012'!K17="",0,'TC012'!K17)</f>
        <v>0</v>
      </c>
      <c r="G8" s="30" t="str">
        <f>IF('TC012'!B6="","",'TC012'!B6)</f>
        <v>*All yellow cells must be filled in</v>
      </c>
    </row>
    <row r="9" spans="1:19" x14ac:dyDescent="0.2">
      <c r="A9" s="31" t="str">
        <f>IF('TC012'!A18="","",'TC012'!A18)</f>
        <v/>
      </c>
      <c r="B9" s="36" t="e">
        <f>IF('TC012'!AQ18="",NA(),'TC012'!AQ18)</f>
        <v>#N/A</v>
      </c>
      <c r="C9" s="36" t="e">
        <f>IF('TC012'!AR18="",NA(),'TC012'!AR18)</f>
        <v>#N/A</v>
      </c>
      <c r="D9" s="36" t="e">
        <f>IF('TC012'!AS18="",NA(),'TC012'!AS18)</f>
        <v>#N/A</v>
      </c>
      <c r="E9" s="37" t="str">
        <f>IF('TC012'!AT18="","",'TC012'!AT18)</f>
        <v/>
      </c>
      <c r="F9" s="38">
        <f>IF('TC012'!K18="",0,'TC012'!K18)</f>
        <v>0</v>
      </c>
      <c r="G9" s="30" t="str">
        <f>IF('TC012'!B8="","",'TC012'!B8)</f>
        <v>Initial</v>
      </c>
    </row>
    <row r="10" spans="1:19" x14ac:dyDescent="0.2">
      <c r="A10" s="31" t="str">
        <f>IF('TC012'!A19="","",'TC012'!A19)</f>
        <v/>
      </c>
      <c r="B10" s="36" t="e">
        <f>IF('TC012'!AQ19="",NA(),'TC012'!AQ19)</f>
        <v>#N/A</v>
      </c>
      <c r="C10" s="36" t="e">
        <f>IF('TC012'!AR19="",NA(),'TC012'!AR19)</f>
        <v>#N/A</v>
      </c>
      <c r="D10" s="36" t="e">
        <f>IF('TC012'!AS19="",NA(),'TC012'!AS19)</f>
        <v>#N/A</v>
      </c>
      <c r="E10" s="37" t="str">
        <f>IF('TC012'!AT19="","",'TC012'!AT19)</f>
        <v/>
      </c>
      <c r="F10" s="38">
        <f>IF('TC012'!K19="",0,'TC012'!K19)</f>
        <v>0</v>
      </c>
    </row>
    <row r="11" spans="1:19" x14ac:dyDescent="0.2">
      <c r="A11" s="31" t="str">
        <f>IF('TC012'!A20="","",'TC012'!A20)</f>
        <v/>
      </c>
      <c r="B11" s="36" t="e">
        <f>IF('TC012'!AQ20="",NA(),'TC012'!AQ20)</f>
        <v>#N/A</v>
      </c>
      <c r="C11" s="36" t="e">
        <f>IF('TC012'!AR20="",NA(),'TC012'!AR20)</f>
        <v>#N/A</v>
      </c>
      <c r="D11" s="36" t="e">
        <f>IF('TC012'!AS20="",NA(),'TC012'!AS20)</f>
        <v>#N/A</v>
      </c>
      <c r="E11" s="37" t="str">
        <f>IF('TC012'!AT20="","",'TC012'!AT20)</f>
        <v/>
      </c>
      <c r="F11" s="38">
        <f>IF('TC012'!K20="",0,'TC012'!K20)</f>
        <v>0</v>
      </c>
    </row>
    <row r="12" spans="1:19" x14ac:dyDescent="0.2">
      <c r="A12" s="31" t="str">
        <f>IF('TC012'!A21="","",'TC012'!A21)</f>
        <v/>
      </c>
      <c r="B12" s="36" t="e">
        <f>IF('TC012'!AQ21="",NA(),'TC012'!AQ21)</f>
        <v>#N/A</v>
      </c>
      <c r="C12" s="36" t="e">
        <f>IF('TC012'!AR21="",NA(),'TC012'!AR21)</f>
        <v>#N/A</v>
      </c>
      <c r="D12" s="36" t="e">
        <f>IF('TC012'!AS21="",NA(),'TC012'!AS21)</f>
        <v>#N/A</v>
      </c>
      <c r="E12" s="37" t="str">
        <f>IF('TC012'!AT21="","",'TC012'!AT21)</f>
        <v/>
      </c>
      <c r="F12" s="38">
        <f>IF('TC012'!K21="",0,'TC012'!K21)</f>
        <v>0</v>
      </c>
    </row>
    <row r="13" spans="1:19" x14ac:dyDescent="0.2">
      <c r="A13" s="31" t="str">
        <f>IF('TC012'!A22="","",'TC012'!A22)</f>
        <v/>
      </c>
      <c r="B13" s="36" t="e">
        <f>IF('TC012'!AQ22="",NA(),'TC012'!AQ22)</f>
        <v>#N/A</v>
      </c>
      <c r="C13" s="36" t="e">
        <f>IF('TC012'!AR22="",NA(),'TC012'!AR22)</f>
        <v>#N/A</v>
      </c>
      <c r="D13" s="36" t="e">
        <f>IF('TC012'!AS22="",NA(),'TC012'!AS22)</f>
        <v>#N/A</v>
      </c>
      <c r="E13" s="37" t="str">
        <f>IF('TC012'!AT22="","",'TC012'!AT22)</f>
        <v/>
      </c>
      <c r="F13" s="38">
        <f>IF('TC012'!K22="",0,'TC012'!K22)</f>
        <v>0</v>
      </c>
    </row>
    <row r="14" spans="1:19" x14ac:dyDescent="0.2">
      <c r="A14" s="31" t="str">
        <f>IF('TC012'!A23="","",'TC012'!A23)</f>
        <v/>
      </c>
      <c r="B14" s="36" t="e">
        <f>IF('TC012'!AQ23="",NA(),'TC012'!AQ23)</f>
        <v>#N/A</v>
      </c>
      <c r="C14" s="36" t="e">
        <f>IF('TC012'!AR23="",NA(),'TC012'!AR23)</f>
        <v>#N/A</v>
      </c>
      <c r="D14" s="36" t="e">
        <f>IF('TC012'!AS23="",NA(),'TC012'!AS23)</f>
        <v>#N/A</v>
      </c>
      <c r="E14" s="37" t="str">
        <f>IF('TC012'!AT23="","",'TC012'!AT23)</f>
        <v/>
      </c>
      <c r="F14" s="38">
        <f>IF('TC012'!K23="",0,'TC012'!K23)</f>
        <v>0</v>
      </c>
    </row>
    <row r="15" spans="1:19" x14ac:dyDescent="0.2">
      <c r="A15" s="31" t="str">
        <f>IF('TC012'!A24="","",'TC012'!A24)</f>
        <v/>
      </c>
      <c r="B15" s="36" t="e">
        <f>IF('TC012'!AQ24="",NA(),'TC012'!AQ24)</f>
        <v>#N/A</v>
      </c>
      <c r="C15" s="36" t="e">
        <f>IF('TC012'!AR24="",NA(),'TC012'!AR24)</f>
        <v>#N/A</v>
      </c>
      <c r="D15" s="36" t="e">
        <f>IF('TC012'!AS24="",NA(),'TC012'!AS24)</f>
        <v>#N/A</v>
      </c>
      <c r="E15" s="37" t="str">
        <f>IF('TC012'!AT24="","",'TC012'!AT24)</f>
        <v/>
      </c>
      <c r="F15" s="38">
        <f>IF('TC012'!K24="",0,'TC012'!K24)</f>
        <v>0</v>
      </c>
    </row>
    <row r="16" spans="1:19" x14ac:dyDescent="0.2">
      <c r="A16" s="31" t="str">
        <f>IF('TC012'!A25="","",'TC012'!A25)</f>
        <v/>
      </c>
      <c r="B16" s="36" t="e">
        <f>IF('TC012'!AQ25="",NA(),'TC012'!AQ25)</f>
        <v>#N/A</v>
      </c>
      <c r="C16" s="36" t="e">
        <f>IF('TC012'!AR25="",NA(),'TC012'!AR25)</f>
        <v>#N/A</v>
      </c>
      <c r="D16" s="36" t="e">
        <f>IF('TC012'!AS25="",NA(),'TC012'!AS25)</f>
        <v>#N/A</v>
      </c>
      <c r="E16" s="37" t="str">
        <f>IF('TC012'!AT25="","",'TC012'!AT25)</f>
        <v/>
      </c>
      <c r="F16" s="38">
        <f>IF('TC012'!K25="",0,'TC012'!K25)</f>
        <v>0</v>
      </c>
    </row>
    <row r="17" spans="1:6" x14ac:dyDescent="0.2">
      <c r="A17" s="31" t="str">
        <f>IF('TC012'!A26="","",'TC012'!A26)</f>
        <v/>
      </c>
      <c r="B17" s="36" t="e">
        <f>IF('TC012'!AQ26="",NA(),'TC012'!AQ26)</f>
        <v>#N/A</v>
      </c>
      <c r="C17" s="36" t="e">
        <f>IF('TC012'!AR26="",NA(),'TC012'!AR26)</f>
        <v>#N/A</v>
      </c>
      <c r="D17" s="36" t="e">
        <f>IF('TC012'!AS26="",NA(),'TC012'!AS26)</f>
        <v>#N/A</v>
      </c>
      <c r="E17" s="37" t="str">
        <f>IF('TC012'!AT26="","",'TC012'!AT26)</f>
        <v/>
      </c>
      <c r="F17" s="38">
        <f>IF('TC012'!K26="",0,'TC012'!K26)</f>
        <v>0</v>
      </c>
    </row>
    <row r="18" spans="1:6" x14ac:dyDescent="0.2">
      <c r="A18" s="31" t="str">
        <f>IF('TC012'!A27="","",'TC012'!A27)</f>
        <v/>
      </c>
      <c r="B18" s="36" t="e">
        <f>IF('TC012'!AQ27="",NA(),'TC012'!AQ27)</f>
        <v>#N/A</v>
      </c>
      <c r="C18" s="36" t="e">
        <f>IF('TC012'!AR27="",NA(),'TC012'!AR27)</f>
        <v>#N/A</v>
      </c>
      <c r="D18" s="36" t="e">
        <f>IF('TC012'!AS27="",NA(),'TC012'!AS27)</f>
        <v>#N/A</v>
      </c>
      <c r="E18" s="37" t="str">
        <f>IF('TC012'!AT27="","",'TC012'!AT27)</f>
        <v/>
      </c>
      <c r="F18" s="38">
        <f>IF('TC012'!K27="",0,'TC012'!K27)</f>
        <v>0</v>
      </c>
    </row>
    <row r="19" spans="1:6" ht="13.5" thickBot="1" x14ac:dyDescent="0.25">
      <c r="A19" s="40" t="str">
        <f>IF('TC012'!A28="","",'TC012'!A28)</f>
        <v/>
      </c>
      <c r="B19" s="36" t="e">
        <f>IF('TC012'!AQ28="",NA(),'TC012'!AQ28)</f>
        <v>#N/A</v>
      </c>
      <c r="C19" s="36" t="e">
        <f>IF('TC012'!AR28="",NA(),'TC012'!AR28)</f>
        <v>#N/A</v>
      </c>
      <c r="D19" s="36" t="e">
        <f>IF('TC012'!AS28="",NA(),'TC012'!AS28)</f>
        <v>#N/A</v>
      </c>
      <c r="E19" s="41" t="str">
        <f>IF('TC012'!AT28="","",'TC012'!AT28)</f>
        <v/>
      </c>
      <c r="F19" s="42">
        <f>IF('TC012'!K28="",0,'TC012'!K28)</f>
        <v>0</v>
      </c>
    </row>
  </sheetData>
  <sheetProtection sheet="1" objects="1" scenarios="1"/>
  <mergeCells count="1">
    <mergeCell ref="B3:D3"/>
  </mergeCells>
  <conditionalFormatting sqref="B4 B5:D19">
    <cfRule type="containsBlanks" dxfId="1" priority="3">
      <formula>LEN(TRIM(B4))=0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44" operator="notBetween" id="{612184A1-17F6-4249-84B5-8DC703E3581C}">
            <xm:f>'TC012'!$L$4*0.75</xm:f>
            <xm:f>'TC012'!$L$4*1.25</xm:f>
            <x14:dxf>
              <fill>
                <patternFill>
                  <bgColor theme="0"/>
                </patternFill>
              </fill>
            </x14:dxf>
          </x14:cfRule>
          <xm:sqref>B4 B5:D19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TC012</vt:lpstr>
      <vt:lpstr>Specifications</vt:lpstr>
      <vt:lpstr>Engineering Analysis</vt:lpstr>
      <vt:lpstr>'TC012'!Print_Area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Crossett</dc:creator>
  <cp:lastModifiedBy>Sarah Steffan</cp:lastModifiedBy>
  <cp:lastPrinted>2020-03-27T00:48:49Z</cp:lastPrinted>
  <dcterms:created xsi:type="dcterms:W3CDTF">2013-07-08T17:34:14Z</dcterms:created>
  <dcterms:modified xsi:type="dcterms:W3CDTF">2020-07-29T15:15:25Z</dcterms:modified>
</cp:coreProperties>
</file>